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5.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24226"/>
  <mc:AlternateContent xmlns:mc="http://schemas.openxmlformats.org/markup-compatibility/2006">
    <mc:Choice Requires="x15">
      <x15ac:absPath xmlns:x15ac="http://schemas.microsoft.com/office/spreadsheetml/2010/11/ac" url="K:\CAP Rate Studies\CAP RATE STUDY 2024\2024 CAP Rate Study - All Industries\(2) Ready for Review\"/>
    </mc:Choice>
  </mc:AlternateContent>
  <xr:revisionPtr revIDLastSave="0" documentId="13_ncr:1_{A22B38B0-B610-4174-A34F-9A75512038F0}" xr6:coauthVersionLast="47" xr6:coauthVersionMax="47" xr10:uidLastSave="{00000000-0000-0000-0000-000000000000}"/>
  <bookViews>
    <workbookView xWindow="28680" yWindow="-4950" windowWidth="29040" windowHeight="15840" firstSheet="6" activeTab="10" xr2:uid="{00000000-000D-0000-FFFF-FFFF00000000}"/>
  </bookViews>
  <sheets>
    <sheet name="Cover Sheet" sheetId="6" r:id="rId1"/>
    <sheet name="Yield CapRate" sheetId="7" r:id="rId2"/>
    <sheet name="Direct CapRates" sheetId="10" r:id="rId3"/>
    <sheet name="S&amp;D" sheetId="3" r:id="rId4"/>
    <sheet name="Market to Book Ratios" sheetId="29" r:id="rId5"/>
    <sheet name="Maintenance CapEx" sheetId="11" r:id="rId6"/>
    <sheet name="Beta for CAPM" sheetId="14" r:id="rId7"/>
    <sheet name="Dividends " sheetId="17" r:id="rId8"/>
    <sheet name="Earnings" sheetId="27" r:id="rId9"/>
    <sheet name="Direct Debt" sheetId="13" r:id="rId10"/>
    <sheet name="Yield Debt" sheetId="8" r:id="rId11"/>
    <sheet name="Direct GCF" sheetId="5" r:id="rId12"/>
    <sheet name="Direct NOPAT" sheetId="12" r:id="rId13"/>
    <sheet name="Growth &amp; Inflation Rates" sheetId="24" r:id="rId14"/>
    <sheet name="Indicated Yield Equity Rate" sheetId="35" r:id="rId15"/>
    <sheet name="CAPM" sheetId="34" r:id="rId16"/>
    <sheet name="Single Stage Div Growth Model" sheetId="19" r:id="rId17"/>
    <sheet name="Two-Stage Div Growth Model" sheetId="20" r:id="rId18"/>
    <sheet name="Multiples" sheetId="25" r:id="rId19"/>
    <sheet name="Info" sheetId="9" r:id="rId20"/>
  </sheets>
  <definedNames>
    <definedName name="_xlnm.Print_Area" localSheetId="6">'Beta for CAPM'!$A$1:$I$36</definedName>
    <definedName name="_xlnm.Print_Area" localSheetId="15">CAPM!$A$1:$H$85</definedName>
    <definedName name="_xlnm.Print_Area" localSheetId="0">'Cover Sheet'!$A$1:$I$37</definedName>
    <definedName name="_xlnm.Print_Area" localSheetId="2">'Direct CapRates'!$A$1:$H$66</definedName>
    <definedName name="_xlnm.Print_Area" localSheetId="9">'Direct Debt'!$A$1:$K$33</definedName>
    <definedName name="_xlnm.Print_Area" localSheetId="11">'Direct GCF'!$A$1:$N$38</definedName>
    <definedName name="_xlnm.Print_Area" localSheetId="12">'Direct NOPAT'!$A$1:$N$61</definedName>
    <definedName name="_xlnm.Print_Area" localSheetId="7">'Dividends '!$A$1:$K$30</definedName>
    <definedName name="_xlnm.Print_Area" localSheetId="8">Earnings!$A$1:$K$30</definedName>
    <definedName name="_xlnm.Print_Area" localSheetId="13">'Growth &amp; Inflation Rates'!$A$1:$H$118</definedName>
    <definedName name="_xlnm.Print_Area" localSheetId="14">'Indicated Yield Equity Rate'!$A$1:$F$61</definedName>
    <definedName name="_xlnm.Print_Area" localSheetId="5">'Maintenance CapEx'!$A$1:$L$74</definedName>
    <definedName name="_xlnm.Print_Area" localSheetId="4">'Market to Book Ratios'!$A$1:$G$58</definedName>
    <definedName name="_xlnm.Print_Area" localSheetId="18">Multiples!$A$1:$K$36</definedName>
    <definedName name="_xlnm.Print_Area" localSheetId="3">'S&amp;D'!$A$1:$L$73</definedName>
    <definedName name="_xlnm.Print_Area" localSheetId="16">'Single Stage Div Growth Model'!$A$1:$K$46</definedName>
    <definedName name="_xlnm.Print_Area" localSheetId="17">'Two-Stage Div Growth Model'!$A$1:$I$44</definedName>
    <definedName name="_xlnm.Print_Area" localSheetId="1">'Yield CapRate'!$A$1:$H$35</definedName>
    <definedName name="_xlnm.Print_Area" localSheetId="10">'Yield Debt'!$A$1:$M$59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25" i="3" l="1"/>
  <c r="D86" i="24"/>
  <c r="D89" i="24"/>
  <c r="I20" i="11"/>
  <c r="F93" i="24" l="1"/>
  <c r="I23" i="8" l="1"/>
  <c r="I22" i="8"/>
  <c r="G23" i="8"/>
  <c r="G22" i="8"/>
  <c r="J23" i="8"/>
  <c r="J22" i="8"/>
  <c r="B46" i="34" l="1"/>
  <c r="E19" i="34"/>
  <c r="E20" i="34"/>
  <c r="E21" i="34"/>
  <c r="E22" i="34"/>
  <c r="E24" i="34"/>
  <c r="E26" i="34"/>
  <c r="E28" i="34"/>
  <c r="E29" i="34"/>
  <c r="E31" i="34"/>
  <c r="E32" i="34"/>
  <c r="E33" i="34"/>
  <c r="E17" i="34"/>
  <c r="E16" i="34"/>
  <c r="E88" i="24"/>
  <c r="E87" i="24"/>
  <c r="D88" i="24"/>
  <c r="D87" i="24"/>
  <c r="F24" i="11" l="1"/>
  <c r="J27" i="3"/>
  <c r="G41" i="3"/>
  <c r="J26" i="3"/>
  <c r="H24" i="25"/>
  <c r="H23" i="25"/>
  <c r="H26" i="25"/>
  <c r="H25" i="25"/>
  <c r="E26" i="25"/>
  <c r="E25" i="25"/>
  <c r="E24" i="25"/>
  <c r="E23" i="25"/>
  <c r="H24" i="19"/>
  <c r="G24" i="19"/>
  <c r="H23" i="19"/>
  <c r="G23" i="19"/>
  <c r="E56" i="12"/>
  <c r="E55" i="12"/>
  <c r="K24" i="12"/>
  <c r="K23" i="12"/>
  <c r="E24" i="12"/>
  <c r="E23" i="12"/>
  <c r="E23" i="27"/>
  <c r="G23" i="27"/>
  <c r="I23" i="27"/>
  <c r="K23" i="27"/>
  <c r="E24" i="27"/>
  <c r="G24" i="27"/>
  <c r="I24" i="27"/>
  <c r="K24" i="27"/>
  <c r="K24" i="17"/>
  <c r="I24" i="17"/>
  <c r="G24" i="17"/>
  <c r="K23" i="17"/>
  <c r="I23" i="17"/>
  <c r="G23" i="17"/>
  <c r="E24" i="17"/>
  <c r="E23" i="17"/>
  <c r="J25" i="5"/>
  <c r="J24" i="5"/>
  <c r="D24" i="5"/>
  <c r="D25" i="5"/>
  <c r="G40" i="3"/>
  <c r="J25" i="3"/>
  <c r="J24" i="3" l="1"/>
  <c r="G39" i="3" s="1"/>
  <c r="J23" i="3" l="1"/>
  <c r="G38" i="3" s="1"/>
  <c r="J22" i="3"/>
  <c r="G37" i="3" s="1"/>
  <c r="H23" i="3"/>
  <c r="D20" i="11"/>
  <c r="E25" i="11"/>
  <c r="E20" i="11"/>
  <c r="F46" i="34" l="1"/>
  <c r="E46" i="34"/>
  <c r="A46" i="34"/>
  <c r="A16" i="6" l="1"/>
  <c r="F47" i="34"/>
  <c r="B47" i="34"/>
  <c r="E47" i="34" s="1"/>
  <c r="A47" i="34"/>
  <c r="A6" i="25"/>
  <c r="A6" i="20"/>
  <c r="A6" i="19"/>
  <c r="A6" i="34"/>
  <c r="A6" i="35"/>
  <c r="A7" i="24"/>
  <c r="A6" i="12"/>
  <c r="A6" i="5"/>
  <c r="A6" i="8"/>
  <c r="A6" i="13"/>
  <c r="A6" i="27"/>
  <c r="A6" i="17"/>
  <c r="D16" i="7"/>
  <c r="D15" i="10"/>
  <c r="A8" i="14"/>
  <c r="A8" i="11"/>
  <c r="A9" i="29"/>
  <c r="F48" i="34"/>
  <c r="B48" i="34"/>
  <c r="E48" i="34" s="1"/>
  <c r="A48" i="34"/>
  <c r="A45" i="34"/>
  <c r="F59" i="34"/>
  <c r="B59" i="34"/>
  <c r="E59" i="34" s="1"/>
  <c r="A61" i="34"/>
  <c r="A59" i="34"/>
  <c r="A58" i="34"/>
  <c r="A57" i="34"/>
  <c r="B58" i="34"/>
  <c r="E58" i="34" s="1"/>
  <c r="C16" i="34"/>
  <c r="D35" i="34" s="1"/>
  <c r="F35" i="34" s="1"/>
  <c r="F61" i="34"/>
  <c r="B61" i="34"/>
  <c r="E61" i="34" s="1"/>
  <c r="F58" i="34"/>
  <c r="F57" i="34"/>
  <c r="B57" i="34"/>
  <c r="E57" i="34" s="1"/>
  <c r="F55" i="34"/>
  <c r="B55" i="34"/>
  <c r="E55" i="34" s="1"/>
  <c r="F54" i="34"/>
  <c r="B54" i="34"/>
  <c r="E54" i="34" s="1"/>
  <c r="F52" i="34"/>
  <c r="B52" i="34"/>
  <c r="E52" i="34" s="1"/>
  <c r="F50" i="34"/>
  <c r="B50" i="34"/>
  <c r="E50" i="34" s="1"/>
  <c r="F45" i="34"/>
  <c r="B45" i="34"/>
  <c r="E45" i="34" s="1"/>
  <c r="F43" i="34"/>
  <c r="B43" i="34"/>
  <c r="E43" i="34" s="1"/>
  <c r="F42" i="34"/>
  <c r="B42" i="34"/>
  <c r="E42" i="34" s="1"/>
  <c r="G26" i="8"/>
  <c r="I26" i="8"/>
  <c r="J26" i="8"/>
  <c r="D23" i="7"/>
  <c r="D44" i="35"/>
  <c r="D43" i="35"/>
  <c r="D42" i="35"/>
  <c r="D41" i="35"/>
  <c r="C21" i="34" l="1"/>
  <c r="C42" i="34"/>
  <c r="D42" i="34" s="1"/>
  <c r="G42" i="34" s="1"/>
  <c r="D28" i="35" s="1"/>
  <c r="C19" i="34"/>
  <c r="C28" i="34"/>
  <c r="C54" i="34" s="1"/>
  <c r="D54" i="34" s="1"/>
  <c r="G54" i="34" s="1"/>
  <c r="D36" i="35" s="1"/>
  <c r="C29" i="34"/>
  <c r="D29" i="34" s="1"/>
  <c r="F29" i="34" s="1"/>
  <c r="C31" i="34"/>
  <c r="C57" i="34" s="1"/>
  <c r="D57" i="34" s="1"/>
  <c r="G57" i="34" s="1"/>
  <c r="D38" i="35" s="1"/>
  <c r="C61" i="34"/>
  <c r="C17" i="34"/>
  <c r="C20" i="34" s="1"/>
  <c r="D20" i="34" s="1"/>
  <c r="F20" i="34" s="1"/>
  <c r="D18" i="35" s="1"/>
  <c r="C26" i="34"/>
  <c r="C32" i="34"/>
  <c r="C58" i="34" s="1"/>
  <c r="D58" i="34" s="1"/>
  <c r="G58" i="34" s="1"/>
  <c r="D39" i="35" s="1"/>
  <c r="D16" i="34"/>
  <c r="F16" i="34" s="1"/>
  <c r="D15" i="35" s="1"/>
  <c r="C24" i="34"/>
  <c r="C45" i="34" l="1"/>
  <c r="D45" i="34" s="1"/>
  <c r="G45" i="34" s="1"/>
  <c r="D30" i="35" s="1"/>
  <c r="C46" i="34"/>
  <c r="D46" i="34" s="1"/>
  <c r="G46" i="34" s="1"/>
  <c r="D31" i="35" s="1"/>
  <c r="D19" i="34"/>
  <c r="F19" i="34" s="1"/>
  <c r="D21" i="34"/>
  <c r="F21" i="34" s="1"/>
  <c r="D19" i="35" s="1"/>
  <c r="C47" i="34"/>
  <c r="D47" i="34" s="1"/>
  <c r="G47" i="34" s="1"/>
  <c r="D32" i="35" s="1"/>
  <c r="D17" i="34"/>
  <c r="F17" i="34" s="1"/>
  <c r="D16" i="35" s="1"/>
  <c r="C22" i="34"/>
  <c r="D28" i="34"/>
  <c r="F28" i="34" s="1"/>
  <c r="D23" i="35" s="1"/>
  <c r="C55" i="34"/>
  <c r="D55" i="34" s="1"/>
  <c r="G55" i="34" s="1"/>
  <c r="D37" i="35" s="1"/>
  <c r="D31" i="34"/>
  <c r="F31" i="34" s="1"/>
  <c r="D25" i="35" s="1"/>
  <c r="C43" i="34"/>
  <c r="D43" i="34" s="1"/>
  <c r="G43" i="34" s="1"/>
  <c r="D29" i="35" s="1"/>
  <c r="C33" i="34"/>
  <c r="C50" i="34"/>
  <c r="D50" i="34" s="1"/>
  <c r="G50" i="34" s="1"/>
  <c r="D34" i="35" s="1"/>
  <c r="D24" i="34"/>
  <c r="F24" i="34" s="1"/>
  <c r="D21" i="35" s="1"/>
  <c r="D26" i="34"/>
  <c r="F26" i="34" s="1"/>
  <c r="D22" i="35" s="1"/>
  <c r="C52" i="34"/>
  <c r="D52" i="34" s="1"/>
  <c r="G52" i="34" s="1"/>
  <c r="D35" i="35" s="1"/>
  <c r="D61" i="34"/>
  <c r="G61" i="34" s="1"/>
  <c r="D32" i="34"/>
  <c r="F32" i="34" s="1"/>
  <c r="D26" i="35" s="1"/>
  <c r="D17" i="35"/>
  <c r="D24" i="35"/>
  <c r="C48" i="34" l="1"/>
  <c r="D48" i="34" s="1"/>
  <c r="G48" i="34" s="1"/>
  <c r="D33" i="35" s="1"/>
  <c r="D22" i="34"/>
  <c r="F22" i="34" s="1"/>
  <c r="D20" i="35" s="1"/>
  <c r="C59" i="34"/>
  <c r="D59" i="34" s="1"/>
  <c r="G59" i="34" s="1"/>
  <c r="D40" i="35" s="1"/>
  <c r="D33" i="34"/>
  <c r="F33" i="34" s="1"/>
  <c r="D27" i="35" s="1"/>
  <c r="D85" i="24"/>
  <c r="E90" i="24"/>
  <c r="E89" i="24"/>
  <c r="F86" i="24"/>
  <c r="G24" i="24"/>
  <c r="D48" i="35" l="1"/>
  <c r="D50" i="35"/>
  <c r="D47" i="35"/>
  <c r="D46" i="35"/>
  <c r="D49" i="35"/>
  <c r="A48" i="12"/>
  <c r="C48" i="12"/>
  <c r="D48" i="12"/>
  <c r="E48" i="12"/>
  <c r="A49" i="12"/>
  <c r="C49" i="12"/>
  <c r="D49" i="12"/>
  <c r="E49" i="12"/>
  <c r="A50" i="12"/>
  <c r="C50" i="12"/>
  <c r="D50" i="12"/>
  <c r="E50" i="12"/>
  <c r="A51" i="12"/>
  <c r="C51" i="12"/>
  <c r="D51" i="12"/>
  <c r="E51" i="12"/>
  <c r="A52" i="12"/>
  <c r="C52" i="12"/>
  <c r="D52" i="12"/>
  <c r="E52" i="12"/>
  <c r="A53" i="12"/>
  <c r="C53" i="12"/>
  <c r="D53" i="12"/>
  <c r="E53" i="12"/>
  <c r="G25" i="8"/>
  <c r="G24" i="8"/>
  <c r="F52" i="12" l="1"/>
  <c r="G52" i="12" s="1"/>
  <c r="F50" i="12"/>
  <c r="G50" i="12" s="1"/>
  <c r="F48" i="12"/>
  <c r="F53" i="12"/>
  <c r="G53" i="12" s="1"/>
  <c r="F51" i="12"/>
  <c r="G51" i="12" s="1"/>
  <c r="F49" i="12"/>
  <c r="G49" i="12" s="1"/>
  <c r="E58" i="12"/>
  <c r="G48" i="12"/>
  <c r="E57" i="12"/>
  <c r="E26" i="20"/>
  <c r="E25" i="20"/>
  <c r="E24" i="20"/>
  <c r="E23" i="20"/>
  <c r="E22" i="20"/>
  <c r="E21" i="20"/>
  <c r="G24" i="13"/>
  <c r="F24" i="13"/>
  <c r="G23" i="13"/>
  <c r="G22" i="13"/>
  <c r="G19" i="13"/>
  <c r="F19" i="13"/>
  <c r="G20" i="13"/>
  <c r="F56" i="12" l="1"/>
  <c r="F55" i="12"/>
  <c r="G56" i="12"/>
  <c r="G55" i="12"/>
  <c r="F57" i="12"/>
  <c r="F58" i="12"/>
  <c r="G58" i="12"/>
  <c r="G57" i="12"/>
  <c r="G21" i="13"/>
  <c r="E38" i="3" l="1"/>
  <c r="F20" i="13"/>
  <c r="F21" i="13"/>
  <c r="F22" i="13"/>
  <c r="F23" i="13"/>
  <c r="D39" i="3"/>
  <c r="D24" i="29" s="1"/>
  <c r="A20" i="11" l="1"/>
  <c r="C22" i="11" l="1"/>
  <c r="C23" i="11"/>
  <c r="C21" i="11"/>
  <c r="D21" i="27"/>
  <c r="D20" i="27"/>
  <c r="J20" i="27" s="1"/>
  <c r="D19" i="27"/>
  <c r="D18" i="27"/>
  <c r="D17" i="27"/>
  <c r="C26" i="20"/>
  <c r="B26" i="20"/>
  <c r="A26" i="20"/>
  <c r="C25" i="20"/>
  <c r="B25" i="20"/>
  <c r="A25" i="20"/>
  <c r="C24" i="20"/>
  <c r="B24" i="20"/>
  <c r="A24" i="20"/>
  <c r="C23" i="20"/>
  <c r="B23" i="20"/>
  <c r="A23" i="20"/>
  <c r="C22" i="20"/>
  <c r="B22" i="20"/>
  <c r="A22" i="20"/>
  <c r="C21" i="20"/>
  <c r="B21" i="20"/>
  <c r="A21" i="20"/>
  <c r="D21" i="17"/>
  <c r="D20" i="17"/>
  <c r="D19" i="17"/>
  <c r="D18" i="17"/>
  <c r="F18" i="17" s="1"/>
  <c r="D17" i="17"/>
  <c r="E19" i="19"/>
  <c r="D22" i="19"/>
  <c r="D21" i="19"/>
  <c r="D20" i="19"/>
  <c r="D19" i="19"/>
  <c r="D18" i="19"/>
  <c r="C22" i="19"/>
  <c r="B22" i="19"/>
  <c r="A22" i="19"/>
  <c r="C21" i="19"/>
  <c r="B21" i="19"/>
  <c r="A21" i="19"/>
  <c r="C20" i="19"/>
  <c r="B20" i="19"/>
  <c r="A20" i="19"/>
  <c r="C19" i="19"/>
  <c r="B19" i="19"/>
  <c r="A19" i="19"/>
  <c r="C18" i="19"/>
  <c r="B18" i="19"/>
  <c r="A18" i="19"/>
  <c r="C17" i="19"/>
  <c r="B17" i="19"/>
  <c r="A17" i="19"/>
  <c r="A21" i="12"/>
  <c r="A20" i="12"/>
  <c r="A19" i="12"/>
  <c r="A18" i="12"/>
  <c r="A17" i="12"/>
  <c r="C21" i="12"/>
  <c r="I21" i="12" s="1"/>
  <c r="C20" i="12"/>
  <c r="I20" i="12" s="1"/>
  <c r="C19" i="12"/>
  <c r="I19" i="12" s="1"/>
  <c r="C18" i="12"/>
  <c r="I18" i="12" s="1"/>
  <c r="C17" i="12"/>
  <c r="I17" i="12" s="1"/>
  <c r="C16" i="12"/>
  <c r="I16" i="12" s="1"/>
  <c r="D21" i="12"/>
  <c r="D20" i="12"/>
  <c r="D19" i="12"/>
  <c r="D18" i="12"/>
  <c r="D17" i="12"/>
  <c r="A16" i="12"/>
  <c r="C22" i="5"/>
  <c r="B22" i="5"/>
  <c r="H22" i="5" s="1"/>
  <c r="A22" i="5"/>
  <c r="C21" i="5"/>
  <c r="B21" i="5"/>
  <c r="H21" i="5" s="1"/>
  <c r="A21" i="5"/>
  <c r="C20" i="5"/>
  <c r="B20" i="5"/>
  <c r="H20" i="5" s="1"/>
  <c r="A20" i="5"/>
  <c r="C19" i="5"/>
  <c r="B19" i="5"/>
  <c r="H19" i="5" s="1"/>
  <c r="A19" i="5"/>
  <c r="C18" i="5"/>
  <c r="B18" i="5"/>
  <c r="H18" i="5" s="1"/>
  <c r="A18" i="5"/>
  <c r="B17" i="5"/>
  <c r="H17" i="5" s="1"/>
  <c r="A17" i="5"/>
  <c r="D20" i="8"/>
  <c r="D19" i="8"/>
  <c r="D18" i="8"/>
  <c r="D17" i="8"/>
  <c r="D16" i="8"/>
  <c r="D15" i="8"/>
  <c r="D21" i="25" l="1"/>
  <c r="I21" i="25" s="1"/>
  <c r="J21" i="25" s="1"/>
  <c r="D20" i="25"/>
  <c r="I20" i="25" s="1"/>
  <c r="J20" i="25" s="1"/>
  <c r="D19" i="25"/>
  <c r="I19" i="25" s="1"/>
  <c r="J19" i="25" s="1"/>
  <c r="D18" i="25"/>
  <c r="I18" i="25" s="1"/>
  <c r="J18" i="25" s="1"/>
  <c r="D17" i="25"/>
  <c r="I17" i="25" s="1"/>
  <c r="J17" i="25" s="1"/>
  <c r="C21" i="25"/>
  <c r="B21" i="25"/>
  <c r="C20" i="25"/>
  <c r="B20" i="25"/>
  <c r="C19" i="25"/>
  <c r="B19" i="25"/>
  <c r="C18" i="25"/>
  <c r="B18" i="25"/>
  <c r="C17" i="25"/>
  <c r="B17" i="25"/>
  <c r="C16" i="25"/>
  <c r="B16" i="25"/>
  <c r="C20" i="8"/>
  <c r="B20" i="8"/>
  <c r="A20" i="8"/>
  <c r="C19" i="8"/>
  <c r="B19" i="8"/>
  <c r="A19" i="8"/>
  <c r="C18" i="8"/>
  <c r="B18" i="8"/>
  <c r="A18" i="8"/>
  <c r="C17" i="8"/>
  <c r="B17" i="8"/>
  <c r="A17" i="8"/>
  <c r="A16" i="8"/>
  <c r="B16" i="8"/>
  <c r="C16" i="8"/>
  <c r="C15" i="8"/>
  <c r="B15" i="8"/>
  <c r="A15" i="8"/>
  <c r="B24" i="13"/>
  <c r="A24" i="13"/>
  <c r="B23" i="13"/>
  <c r="A23" i="13"/>
  <c r="B22" i="13"/>
  <c r="A22" i="13"/>
  <c r="B21" i="13"/>
  <c r="A21" i="13"/>
  <c r="B20" i="13"/>
  <c r="A20" i="13"/>
  <c r="B19" i="13"/>
  <c r="A19" i="13"/>
  <c r="C21" i="27"/>
  <c r="B21" i="27"/>
  <c r="A21" i="27"/>
  <c r="C20" i="27"/>
  <c r="B20" i="27"/>
  <c r="A20" i="27"/>
  <c r="C19" i="27"/>
  <c r="B19" i="27"/>
  <c r="A19" i="27"/>
  <c r="C18" i="27"/>
  <c r="B18" i="27"/>
  <c r="A18" i="27"/>
  <c r="C17" i="27"/>
  <c r="B17" i="27"/>
  <c r="A17" i="27"/>
  <c r="C16" i="27"/>
  <c r="B16" i="27"/>
  <c r="A16" i="27"/>
  <c r="C21" i="17"/>
  <c r="B21" i="17"/>
  <c r="A21" i="17"/>
  <c r="C20" i="17"/>
  <c r="B20" i="17"/>
  <c r="A20" i="17"/>
  <c r="C19" i="17"/>
  <c r="B19" i="17"/>
  <c r="A19" i="17"/>
  <c r="C18" i="17"/>
  <c r="B18" i="17"/>
  <c r="A18" i="17"/>
  <c r="C17" i="17"/>
  <c r="B17" i="17"/>
  <c r="A17" i="17"/>
  <c r="C16" i="17"/>
  <c r="B16" i="17"/>
  <c r="A16" i="17"/>
  <c r="C23" i="14" l="1"/>
  <c r="B23" i="14"/>
  <c r="A23" i="14"/>
  <c r="C22" i="14"/>
  <c r="B22" i="14"/>
  <c r="A22" i="14"/>
  <c r="C21" i="14"/>
  <c r="B21" i="14"/>
  <c r="A21" i="14"/>
  <c r="C20" i="14"/>
  <c r="B20" i="14"/>
  <c r="A20" i="14"/>
  <c r="C19" i="14"/>
  <c r="B19" i="14"/>
  <c r="A19" i="14"/>
  <c r="C18" i="14"/>
  <c r="B18" i="14"/>
  <c r="A18" i="14"/>
  <c r="B23" i="11"/>
  <c r="A23" i="11"/>
  <c r="B22" i="11"/>
  <c r="A22" i="11"/>
  <c r="B21" i="11"/>
  <c r="A21" i="11"/>
  <c r="E40" i="3"/>
  <c r="E39" i="3"/>
  <c r="D41" i="29"/>
  <c r="E41" i="29"/>
  <c r="C24" i="29"/>
  <c r="B24" i="29"/>
  <c r="A24" i="29"/>
  <c r="C23" i="29"/>
  <c r="B23" i="29"/>
  <c r="A23" i="29"/>
  <c r="C39" i="3"/>
  <c r="B39" i="3"/>
  <c r="A39" i="3"/>
  <c r="C38" i="3"/>
  <c r="B38" i="3"/>
  <c r="A38" i="3"/>
  <c r="F24" i="3"/>
  <c r="H39" i="3" l="1"/>
  <c r="I39" i="3" s="1"/>
  <c r="B40" i="3"/>
  <c r="B25" i="11"/>
  <c r="A25" i="11"/>
  <c r="B24" i="11"/>
  <c r="A24" i="11"/>
  <c r="B20" i="11"/>
  <c r="C27" i="29"/>
  <c r="C44" i="29" s="1"/>
  <c r="B27" i="29"/>
  <c r="B44" i="29" s="1"/>
  <c r="A27" i="29"/>
  <c r="A44" i="29" s="1"/>
  <c r="C26" i="29"/>
  <c r="C43" i="29" s="1"/>
  <c r="B26" i="29"/>
  <c r="B43" i="29" s="1"/>
  <c r="A26" i="29"/>
  <c r="A43" i="29" s="1"/>
  <c r="C25" i="29"/>
  <c r="C42" i="29" s="1"/>
  <c r="B25" i="29"/>
  <c r="B42" i="29" s="1"/>
  <c r="A25" i="29"/>
  <c r="A42" i="29" s="1"/>
  <c r="C41" i="29"/>
  <c r="B41" i="29"/>
  <c r="A41" i="29"/>
  <c r="C40" i="29"/>
  <c r="B40" i="29"/>
  <c r="A40" i="29"/>
  <c r="C22" i="29"/>
  <c r="C39" i="29" s="1"/>
  <c r="B22" i="29"/>
  <c r="B39" i="29" s="1"/>
  <c r="A22" i="29"/>
  <c r="A39" i="29" s="1"/>
  <c r="J39" i="3" l="1"/>
  <c r="D48" i="10"/>
  <c r="G64" i="10"/>
  <c r="K17" i="17"/>
  <c r="K16" i="17"/>
  <c r="B53" i="29"/>
  <c r="I26" i="27"/>
  <c r="G26" i="27"/>
  <c r="E26" i="27"/>
  <c r="I25" i="27"/>
  <c r="G25" i="27"/>
  <c r="E25" i="27"/>
  <c r="K21" i="27"/>
  <c r="H21" i="27"/>
  <c r="K20" i="27"/>
  <c r="K19" i="27"/>
  <c r="H19" i="27"/>
  <c r="K18" i="27"/>
  <c r="F18" i="27"/>
  <c r="K17" i="27"/>
  <c r="H17" i="27"/>
  <c r="K16" i="27"/>
  <c r="D16" i="27"/>
  <c r="K21" i="17"/>
  <c r="K20" i="17"/>
  <c r="K19" i="17"/>
  <c r="K18" i="17"/>
  <c r="J16" i="27" l="1"/>
  <c r="D24" i="27"/>
  <c r="D23" i="27"/>
  <c r="A15" i="24"/>
  <c r="A24" i="24"/>
  <c r="F21" i="27"/>
  <c r="J21" i="27"/>
  <c r="F17" i="27"/>
  <c r="J17" i="27"/>
  <c r="H20" i="27"/>
  <c r="F19" i="27"/>
  <c r="J19" i="27"/>
  <c r="K26" i="27"/>
  <c r="D16" i="24" s="1"/>
  <c r="H18" i="27"/>
  <c r="K25" i="27"/>
  <c r="D15" i="24" s="1"/>
  <c r="F16" i="27"/>
  <c r="J18" i="27"/>
  <c r="F20" i="27"/>
  <c r="D25" i="27"/>
  <c r="D26" i="27"/>
  <c r="H16" i="27"/>
  <c r="K25" i="17"/>
  <c r="C15" i="24" s="1"/>
  <c r="K26" i="17"/>
  <c r="C16" i="24" s="1"/>
  <c r="F24" i="27" l="1"/>
  <c r="F23" i="27"/>
  <c r="H24" i="27"/>
  <c r="H23" i="27"/>
  <c r="J24" i="27"/>
  <c r="J23" i="27"/>
  <c r="J26" i="27"/>
  <c r="J25" i="27"/>
  <c r="F26" i="27"/>
  <c r="F25" i="27"/>
  <c r="H26" i="27"/>
  <c r="H25" i="27"/>
  <c r="I26" i="17" l="1"/>
  <c r="I25" i="17"/>
  <c r="H24" i="24" l="1"/>
  <c r="F85" i="24"/>
  <c r="D84" i="24"/>
  <c r="D83" i="24"/>
  <c r="D82" i="24"/>
  <c r="D81" i="24"/>
  <c r="D80" i="24"/>
  <c r="F80" i="24" s="1"/>
  <c r="D79" i="24"/>
  <c r="D58" i="10"/>
  <c r="F89" i="24" l="1"/>
  <c r="D90" i="24"/>
  <c r="F90" i="24" s="1"/>
  <c r="G31" i="10" l="1"/>
  <c r="F18" i="25"/>
  <c r="G18" i="25" s="1"/>
  <c r="D16" i="25"/>
  <c r="I16" i="25" s="1"/>
  <c r="C25" i="11"/>
  <c r="C24" i="11"/>
  <c r="C20" i="11"/>
  <c r="F84" i="24"/>
  <c r="F83" i="24"/>
  <c r="F82" i="24"/>
  <c r="F81" i="24"/>
  <c r="F79" i="24"/>
  <c r="D25" i="10"/>
  <c r="I23" i="25" l="1"/>
  <c r="I24" i="25"/>
  <c r="F88" i="24"/>
  <c r="F87" i="24"/>
  <c r="J16" i="25"/>
  <c r="I26" i="25"/>
  <c r="I25" i="25"/>
  <c r="F23" i="20"/>
  <c r="G23" i="20" s="1"/>
  <c r="F21" i="20"/>
  <c r="G21" i="20" s="1"/>
  <c r="F24" i="20"/>
  <c r="G24" i="20" s="1"/>
  <c r="F22" i="20"/>
  <c r="G22" i="20" s="1"/>
  <c r="F25" i="20"/>
  <c r="G25" i="20" s="1"/>
  <c r="F26" i="20"/>
  <c r="G26" i="20" s="1"/>
  <c r="F19" i="25"/>
  <c r="G19" i="25" s="1"/>
  <c r="F17" i="25"/>
  <c r="G17" i="25" s="1"/>
  <c r="F21" i="25"/>
  <c r="G21" i="25" s="1"/>
  <c r="F16" i="25"/>
  <c r="F20" i="25"/>
  <c r="G20" i="25" s="1"/>
  <c r="H26" i="19"/>
  <c r="G26" i="19"/>
  <c r="H25" i="19"/>
  <c r="G25" i="19"/>
  <c r="D17" i="19"/>
  <c r="G26" i="17"/>
  <c r="G25" i="17"/>
  <c r="J21" i="17"/>
  <c r="J20" i="17"/>
  <c r="J19" i="17"/>
  <c r="J18" i="17"/>
  <c r="J17" i="17"/>
  <c r="D16" i="17"/>
  <c r="J16" i="17" s="1"/>
  <c r="E26" i="17"/>
  <c r="E25" i="17"/>
  <c r="I27" i="14"/>
  <c r="I26" i="14"/>
  <c r="I25" i="8"/>
  <c r="I24" i="8"/>
  <c r="F25" i="11"/>
  <c r="H25" i="11" s="1"/>
  <c r="H24" i="11"/>
  <c r="F23" i="11"/>
  <c r="H23" i="11" s="1"/>
  <c r="F22" i="11"/>
  <c r="H22" i="11" s="1"/>
  <c r="F21" i="11"/>
  <c r="H21" i="11" s="1"/>
  <c r="F20" i="11"/>
  <c r="H20" i="11" s="1"/>
  <c r="E20" i="8"/>
  <c r="E19" i="8"/>
  <c r="E18" i="8"/>
  <c r="E17" i="8"/>
  <c r="E16" i="8"/>
  <c r="E15" i="8"/>
  <c r="I22" i="5"/>
  <c r="L22" i="5" s="1"/>
  <c r="I21" i="5"/>
  <c r="L21" i="5" s="1"/>
  <c r="I20" i="5"/>
  <c r="L20" i="5" s="1"/>
  <c r="I19" i="5"/>
  <c r="L19" i="5" s="1"/>
  <c r="I18" i="5"/>
  <c r="L18" i="5" s="1"/>
  <c r="C17" i="5"/>
  <c r="J32" i="12"/>
  <c r="D23" i="10" s="1"/>
  <c r="I32" i="12"/>
  <c r="H31" i="5"/>
  <c r="D56" i="10" s="1"/>
  <c r="G31" i="5"/>
  <c r="H27" i="14"/>
  <c r="H26" i="14"/>
  <c r="J24" i="13"/>
  <c r="J23" i="13"/>
  <c r="J22" i="13"/>
  <c r="J21" i="13"/>
  <c r="J20" i="13"/>
  <c r="J19" i="13"/>
  <c r="H24" i="13"/>
  <c r="I24" i="13" s="1"/>
  <c r="H23" i="13"/>
  <c r="I23" i="13" s="1"/>
  <c r="H22" i="13"/>
  <c r="I22" i="13" s="1"/>
  <c r="H21" i="13"/>
  <c r="I21" i="13" s="1"/>
  <c r="H20" i="13"/>
  <c r="I20" i="13" s="1"/>
  <c r="H19" i="13"/>
  <c r="I19" i="13" s="1"/>
  <c r="K26" i="12"/>
  <c r="E26" i="12"/>
  <c r="K25" i="12"/>
  <c r="E25" i="12"/>
  <c r="J21" i="12"/>
  <c r="F19" i="12"/>
  <c r="G19" i="12" s="1"/>
  <c r="F18" i="12"/>
  <c r="G18" i="12" s="1"/>
  <c r="J17" i="12"/>
  <c r="D16" i="12"/>
  <c r="I17" i="5" l="1"/>
  <c r="C25" i="5"/>
  <c r="C24" i="5"/>
  <c r="J24" i="17"/>
  <c r="J23" i="17"/>
  <c r="J23" i="25"/>
  <c r="J24" i="25"/>
  <c r="J27" i="13"/>
  <c r="J26" i="13"/>
  <c r="J16" i="12"/>
  <c r="D24" i="12"/>
  <c r="D23" i="12"/>
  <c r="I27" i="13"/>
  <c r="I26" i="13"/>
  <c r="G16" i="25"/>
  <c r="F24" i="25"/>
  <c r="F23" i="25"/>
  <c r="J25" i="25"/>
  <c r="J26" i="25"/>
  <c r="J29" i="13"/>
  <c r="I29" i="13"/>
  <c r="J22" i="11"/>
  <c r="I22" i="11"/>
  <c r="J23" i="11"/>
  <c r="I23" i="11"/>
  <c r="J21" i="11"/>
  <c r="I21" i="11"/>
  <c r="J26" i="17"/>
  <c r="J25" i="17"/>
  <c r="J28" i="13"/>
  <c r="I28" i="13"/>
  <c r="J18" i="12"/>
  <c r="L21" i="12"/>
  <c r="M21" i="12" s="1"/>
  <c r="L16" i="12"/>
  <c r="H17" i="17"/>
  <c r="F18" i="19" s="1"/>
  <c r="D22" i="20" s="1"/>
  <c r="H22" i="20" s="1"/>
  <c r="F17" i="17"/>
  <c r="H19" i="17"/>
  <c r="F20" i="19" s="1"/>
  <c r="D24" i="20" s="1"/>
  <c r="H24" i="20" s="1"/>
  <c r="F19" i="17"/>
  <c r="H21" i="17"/>
  <c r="F22" i="19" s="1"/>
  <c r="D26" i="20" s="1"/>
  <c r="H26" i="20" s="1"/>
  <c r="F21" i="17"/>
  <c r="H18" i="17"/>
  <c r="F19" i="19" s="1"/>
  <c r="D23" i="20" s="1"/>
  <c r="H23" i="20" s="1"/>
  <c r="H16" i="17"/>
  <c r="F16" i="17"/>
  <c r="H20" i="17"/>
  <c r="F21" i="19" s="1"/>
  <c r="D25" i="20" s="1"/>
  <c r="H25" i="20" s="1"/>
  <c r="F20" i="17"/>
  <c r="J19" i="12"/>
  <c r="L17" i="12"/>
  <c r="M17" i="12" s="1"/>
  <c r="J20" i="12"/>
  <c r="F26" i="25"/>
  <c r="F25" i="25"/>
  <c r="G26" i="25"/>
  <c r="G25" i="25"/>
  <c r="D25" i="12"/>
  <c r="I27" i="5"/>
  <c r="I26" i="5"/>
  <c r="F16" i="12"/>
  <c r="F20" i="12"/>
  <c r="G20" i="12" s="1"/>
  <c r="F21" i="12"/>
  <c r="G21" i="12" s="1"/>
  <c r="D26" i="12"/>
  <c r="F17" i="12"/>
  <c r="G17" i="12" s="1"/>
  <c r="G16" i="12" l="1"/>
  <c r="G25" i="12" s="1"/>
  <c r="F23" i="12"/>
  <c r="F24" i="12"/>
  <c r="G24" i="25"/>
  <c r="G23" i="25"/>
  <c r="F23" i="17"/>
  <c r="F24" i="17"/>
  <c r="F17" i="19"/>
  <c r="D21" i="20" s="1"/>
  <c r="H21" i="20" s="1"/>
  <c r="H24" i="17"/>
  <c r="H23" i="17"/>
  <c r="J24" i="12"/>
  <c r="J23" i="12"/>
  <c r="L17" i="5"/>
  <c r="I25" i="5"/>
  <c r="I24" i="5"/>
  <c r="K23" i="11"/>
  <c r="L23" i="11" s="1"/>
  <c r="K21" i="11"/>
  <c r="L21" i="11" s="1"/>
  <c r="K22" i="11"/>
  <c r="L22" i="11" s="1"/>
  <c r="L18" i="12"/>
  <c r="M18" i="12" s="1"/>
  <c r="J19" i="19"/>
  <c r="I19" i="19"/>
  <c r="F25" i="17"/>
  <c r="F26" i="17"/>
  <c r="J20" i="19"/>
  <c r="I20" i="19"/>
  <c r="J18" i="19"/>
  <c r="I18" i="19"/>
  <c r="L20" i="12"/>
  <c r="M20" i="12" s="1"/>
  <c r="L19" i="12"/>
  <c r="M19" i="12" s="1"/>
  <c r="H25" i="17"/>
  <c r="H26" i="17"/>
  <c r="J21" i="19"/>
  <c r="I21" i="19"/>
  <c r="J22" i="19"/>
  <c r="I22" i="19"/>
  <c r="J26" i="12"/>
  <c r="J25" i="12"/>
  <c r="F26" i="12"/>
  <c r="F25" i="12"/>
  <c r="M16" i="12"/>
  <c r="G26" i="12"/>
  <c r="H29" i="20" l="1"/>
  <c r="H28" i="20"/>
  <c r="H30" i="20"/>
  <c r="L24" i="5"/>
  <c r="L25" i="5"/>
  <c r="M24" i="12"/>
  <c r="M23" i="12"/>
  <c r="F23" i="19"/>
  <c r="L23" i="12"/>
  <c r="G23" i="12"/>
  <c r="G24" i="12"/>
  <c r="F24" i="19"/>
  <c r="L24" i="12"/>
  <c r="H27" i="20"/>
  <c r="L26" i="12"/>
  <c r="L25" i="12"/>
  <c r="J17" i="19"/>
  <c r="F26" i="19"/>
  <c r="F25" i="19"/>
  <c r="I17" i="19"/>
  <c r="M26" i="12"/>
  <c r="M25" i="12"/>
  <c r="J24" i="19" l="1"/>
  <c r="J23" i="19"/>
  <c r="I24" i="19"/>
  <c r="I23" i="19"/>
  <c r="J26" i="19"/>
  <c r="J25" i="19"/>
  <c r="I26" i="19"/>
  <c r="I25" i="19"/>
  <c r="J27" i="5"/>
  <c r="J26" i="5"/>
  <c r="J25" i="11"/>
  <c r="J24" i="11"/>
  <c r="J20" i="11"/>
  <c r="I25" i="11"/>
  <c r="I24" i="11"/>
  <c r="F56" i="10"/>
  <c r="C58" i="10"/>
  <c r="C56" i="10"/>
  <c r="F58" i="10"/>
  <c r="F25" i="10"/>
  <c r="C25" i="10"/>
  <c r="F23" i="10"/>
  <c r="C23" i="10"/>
  <c r="K20" i="11" l="1"/>
  <c r="L20" i="11" s="1"/>
  <c r="K25" i="11"/>
  <c r="L25" i="11" s="1"/>
  <c r="K24" i="11"/>
  <c r="L24" i="11" s="1"/>
  <c r="G25" i="10"/>
  <c r="C27" i="10"/>
  <c r="C60" i="10"/>
  <c r="G23" i="10"/>
  <c r="G56" i="10"/>
  <c r="G58" i="10"/>
  <c r="E40" i="29"/>
  <c r="L28" i="11" l="1"/>
  <c r="L27" i="11"/>
  <c r="D44" i="29"/>
  <c r="E44" i="29"/>
  <c r="D40" i="29"/>
  <c r="F40" i="29" s="1"/>
  <c r="D43" i="29"/>
  <c r="E43" i="29"/>
  <c r="D39" i="29"/>
  <c r="E39" i="29"/>
  <c r="D42" i="29"/>
  <c r="E42" i="29"/>
  <c r="L29" i="11"/>
  <c r="L30" i="11"/>
  <c r="G27" i="10"/>
  <c r="G60" i="10"/>
  <c r="M18" i="5"/>
  <c r="M19" i="5"/>
  <c r="M20" i="5"/>
  <c r="M21" i="5"/>
  <c r="M22" i="5"/>
  <c r="F42" i="29" l="1"/>
  <c r="F43" i="29"/>
  <c r="F41" i="29"/>
  <c r="F44" i="29"/>
  <c r="F39" i="29"/>
  <c r="M17" i="5"/>
  <c r="L26" i="5"/>
  <c r="L27" i="5"/>
  <c r="M25" i="5" l="1"/>
  <c r="M24" i="5"/>
  <c r="F45" i="29"/>
  <c r="D53" i="29" s="1"/>
  <c r="M27" i="5"/>
  <c r="M26" i="5"/>
  <c r="E41" i="3"/>
  <c r="C26" i="5" l="1"/>
  <c r="C27" i="5"/>
  <c r="E17" i="5"/>
  <c r="A42" i="3" l="1"/>
  <c r="A41" i="3"/>
  <c r="A40" i="3"/>
  <c r="D42" i="3"/>
  <c r="D41" i="3"/>
  <c r="D40" i="3"/>
  <c r="D38" i="3"/>
  <c r="E20" i="19" l="1"/>
  <c r="E21" i="19"/>
  <c r="E22" i="19"/>
  <c r="E18" i="19"/>
  <c r="D23" i="29"/>
  <c r="F23" i="29" s="1"/>
  <c r="D27" i="29"/>
  <c r="F27" i="29" s="1"/>
  <c r="D26" i="29"/>
  <c r="F26" i="29" s="1"/>
  <c r="H41" i="3"/>
  <c r="J41" i="3" s="1"/>
  <c r="D25" i="29"/>
  <c r="F25" i="29" s="1"/>
  <c r="F24" i="29"/>
  <c r="H38" i="3"/>
  <c r="J38" i="3" s="1"/>
  <c r="F22" i="3" l="1"/>
  <c r="F23" i="3"/>
  <c r="F25" i="3"/>
  <c r="F26" i="3"/>
  <c r="F27" i="3"/>
  <c r="C23" i="7" l="1"/>
  <c r="C52" i="29" s="1"/>
  <c r="C25" i="7"/>
  <c r="C53" i="29" s="1"/>
  <c r="E53" i="29" s="1"/>
  <c r="D25" i="7" l="1"/>
  <c r="J24" i="8" l="1"/>
  <c r="J25" i="8" l="1"/>
  <c r="E42" i="3" l="1"/>
  <c r="H42" i="3" s="1"/>
  <c r="J42" i="3" s="1"/>
  <c r="H40" i="3"/>
  <c r="J40" i="3" s="1"/>
  <c r="D37" i="3"/>
  <c r="E17" i="19" l="1"/>
  <c r="D22" i="29"/>
  <c r="F22" i="29" s="1"/>
  <c r="F28" i="29" s="1"/>
  <c r="D52" i="29" s="1"/>
  <c r="E52" i="29" s="1"/>
  <c r="E54" i="29" s="1"/>
  <c r="I42" i="3"/>
  <c r="I41" i="3"/>
  <c r="I40" i="3" l="1"/>
  <c r="D27" i="5" l="1"/>
  <c r="D26" i="5"/>
  <c r="E37" i="3" l="1"/>
  <c r="H37" i="3" l="1"/>
  <c r="J37" i="3" s="1"/>
  <c r="I38" i="3"/>
  <c r="J45" i="3" l="1"/>
  <c r="J44" i="3"/>
  <c r="I37" i="3"/>
  <c r="J47" i="3"/>
  <c r="I46" i="3" l="1"/>
  <c r="I44" i="3"/>
  <c r="I45" i="3"/>
  <c r="B42" i="3"/>
  <c r="B41" i="3"/>
  <c r="C42" i="3"/>
  <c r="C41" i="3"/>
  <c r="C40" i="3"/>
  <c r="C37" i="3"/>
  <c r="B37" i="3" l="1"/>
  <c r="A37" i="3"/>
  <c r="E22" i="5"/>
  <c r="F22" i="5" s="1"/>
  <c r="E21" i="5"/>
  <c r="F21" i="5" s="1"/>
  <c r="E20" i="5"/>
  <c r="F20" i="5" s="1"/>
  <c r="E19" i="5"/>
  <c r="F19" i="5" s="1"/>
  <c r="E18" i="5"/>
  <c r="F18" i="5" l="1"/>
  <c r="E25" i="5"/>
  <c r="E24" i="5"/>
  <c r="E26" i="5"/>
  <c r="J46" i="3"/>
  <c r="E27" i="5"/>
  <c r="I47" i="3"/>
  <c r="F17" i="5"/>
  <c r="F26" i="5" l="1"/>
  <c r="F25" i="5"/>
  <c r="F24" i="5"/>
  <c r="F23" i="7"/>
  <c r="G23" i="7" s="1"/>
  <c r="F27" i="5"/>
  <c r="C27" i="7"/>
  <c r="F25" i="7"/>
  <c r="G25" i="7" s="1"/>
  <c r="G27"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rev4440</author>
    <author>Baker, Mike A (DOR)</author>
    <author>REVT221</author>
    <author>rev3569</author>
    <author>rev3857</author>
  </authors>
  <commentList>
    <comment ref="H22" authorId="0" shapeId="0" xr:uid="{CD9F360F-B6DB-448F-A5A0-EA2D672D1E39}">
      <text>
        <r>
          <rPr>
            <sz val="9"/>
            <color indexed="81"/>
            <rFont val="Tahoma"/>
            <family val="2"/>
          </rPr>
          <t>Page 73 of PDF, 10-K</t>
        </r>
      </text>
    </comment>
    <comment ref="J22" authorId="0" shapeId="0" xr:uid="{BF9DED12-0B4F-4A8D-BD46-7F315905566C}">
      <text>
        <r>
          <rPr>
            <sz val="9"/>
            <color indexed="81"/>
            <rFont val="Tahoma"/>
            <family val="2"/>
          </rPr>
          <t>Page 73 of PDF, 10-K</t>
        </r>
      </text>
    </comment>
    <comment ref="H23" authorId="0" shapeId="0" xr:uid="{BA9F0DC4-5888-445C-944D-FC89DFBAAE3C}">
      <text>
        <r>
          <rPr>
            <sz val="9"/>
            <color indexed="81"/>
            <rFont val="Tahoma"/>
            <family val="2"/>
          </rPr>
          <t>Page 83 of PDF, 10-K</t>
        </r>
      </text>
    </comment>
    <comment ref="I23" authorId="1" shapeId="0" xr:uid="{6C624364-518A-490E-8735-0E7E07B4EA60}">
      <text>
        <r>
          <rPr>
            <b/>
            <sz val="9"/>
            <color indexed="81"/>
            <rFont val="Tahoma"/>
            <family val="2"/>
          </rPr>
          <t>Baker, Mike A (DOR):</t>
        </r>
        <r>
          <rPr>
            <sz val="9"/>
            <color indexed="81"/>
            <rFont val="Tahoma"/>
            <family val="2"/>
          </rPr>
          <t xml:space="preserve">
Page 83 &amp; 133  10K</t>
        </r>
      </text>
    </comment>
    <comment ref="J23" authorId="0" shapeId="0" xr:uid="{0D9669BA-F256-45A7-8632-A07966F38D2C}">
      <text>
        <r>
          <rPr>
            <sz val="9"/>
            <color indexed="81"/>
            <rFont val="Tahoma"/>
            <family val="2"/>
          </rPr>
          <t>Page 83 of PDF, 10-K</t>
        </r>
      </text>
    </comment>
    <comment ref="H24" authorId="0" shapeId="0" xr:uid="{2DBF7BC6-0232-4FDF-8A3C-0053A9953FAA}">
      <text>
        <r>
          <rPr>
            <sz val="9"/>
            <color indexed="81"/>
            <rFont val="Tahoma"/>
            <family val="2"/>
          </rPr>
          <t>Page 58 of PDF, 10-K</t>
        </r>
      </text>
    </comment>
    <comment ref="J24" authorId="0" shapeId="0" xr:uid="{D66165F2-832B-4545-B3CD-9C8D43EFF746}">
      <text>
        <r>
          <rPr>
            <sz val="9"/>
            <color indexed="81"/>
            <rFont val="Tahoma"/>
            <family val="2"/>
          </rPr>
          <t>Page 58 &amp; 72 of PDF, 10-K Includes finance leses</t>
        </r>
      </text>
    </comment>
    <comment ref="H25" authorId="2" shapeId="0" xr:uid="{9964A07B-702C-4B5E-83E9-6D9553C51C61}">
      <text>
        <r>
          <rPr>
            <sz val="9"/>
            <color indexed="81"/>
            <rFont val="Tahoma"/>
            <family val="2"/>
          </rPr>
          <t>Page 71  of PDF, 10-K</t>
        </r>
      </text>
    </comment>
    <comment ref="J25" authorId="2" shapeId="0" xr:uid="{073E0E9C-5784-407D-9CD1-F2A9685BB24A}">
      <text>
        <r>
          <rPr>
            <sz val="9"/>
            <color indexed="81"/>
            <rFont val="Tahoma"/>
            <family val="2"/>
          </rPr>
          <t>Page 71 of PDF, 10-K</t>
        </r>
      </text>
    </comment>
    <comment ref="H26" authorId="0" shapeId="0" xr:uid="{38D4E995-D523-4D1D-83D3-F3A0FE1B01B6}">
      <text>
        <r>
          <rPr>
            <sz val="9"/>
            <color indexed="81"/>
            <rFont val="Tahoma"/>
            <family val="2"/>
          </rPr>
          <t>Page 50 of PDF, 10-K  or pg 51  CSE</t>
        </r>
      </text>
    </comment>
    <comment ref="I26" authorId="0" shapeId="0" xr:uid="{6AA0BFAA-4950-4B20-854D-11D72D286A0A}">
      <text>
        <r>
          <rPr>
            <sz val="9"/>
            <color indexed="81"/>
            <rFont val="Tahoma"/>
            <family val="2"/>
          </rPr>
          <t xml:space="preserve">Page 48 of PDF, 10-K
</t>
        </r>
      </text>
    </comment>
    <comment ref="J26" authorId="0" shapeId="0" xr:uid="{82DEEF9B-0BC9-4D3D-9B75-3008E331F516}">
      <text>
        <r>
          <rPr>
            <sz val="9"/>
            <color indexed="81"/>
            <rFont val="Tahoma"/>
            <family val="2"/>
          </rPr>
          <t>Page 50 of PDF, 10-K</t>
        </r>
      </text>
    </comment>
    <comment ref="H27" authorId="0" shapeId="0" xr:uid="{BAD08CFB-BA9E-486F-BB66-2B50E9CDD1C9}">
      <text>
        <r>
          <rPr>
            <sz val="9"/>
            <color indexed="81"/>
            <rFont val="Tahoma"/>
            <family val="2"/>
          </rPr>
          <t>Page 51 of PDF, 10-K CSE</t>
        </r>
      </text>
    </comment>
    <comment ref="J27" authorId="0" shapeId="0" xr:uid="{27AA6159-18FC-4D7E-B951-8C80B5A4F50A}">
      <text>
        <r>
          <rPr>
            <sz val="9"/>
            <color indexed="81"/>
            <rFont val="Tahoma"/>
            <family val="2"/>
          </rPr>
          <t>Page 49 of PDF, 10-K</t>
        </r>
      </text>
    </comment>
    <comment ref="F33" authorId="3" shapeId="0" xr:uid="{CEF678F7-6580-4CF3-AC8E-A803AFF27478}">
      <text>
        <r>
          <rPr>
            <b/>
            <sz val="11"/>
            <color indexed="81"/>
            <rFont val="Tahoma"/>
            <family val="2"/>
          </rPr>
          <t>rev3569:</t>
        </r>
        <r>
          <rPr>
            <sz val="11"/>
            <color indexed="81"/>
            <rFont val="Tahoma"/>
            <family val="2"/>
          </rPr>
          <t xml:space="preserve">
identify present value in 10K</t>
        </r>
      </text>
    </comment>
    <comment ref="F37" authorId="1" shapeId="0" xr:uid="{5D3A7E9E-31FD-48DE-A814-52821D26E9B2}">
      <text>
        <r>
          <rPr>
            <b/>
            <sz val="9"/>
            <color indexed="81"/>
            <rFont val="Tahoma"/>
            <family val="2"/>
          </rPr>
          <t>Baker, Mike A (DOR):</t>
        </r>
        <r>
          <rPr>
            <sz val="9"/>
            <color indexed="81"/>
            <rFont val="Tahoma"/>
            <family val="2"/>
          </rPr>
          <t xml:space="preserve">
Page 116 Note 16  10K</t>
        </r>
      </text>
    </comment>
    <comment ref="G37" authorId="4" shapeId="0" xr:uid="{32758C80-C783-4890-9BF5-A04AE5CA4564}">
      <text>
        <r>
          <rPr>
            <sz val="9"/>
            <color indexed="81"/>
            <rFont val="Tahoma"/>
            <family val="2"/>
          </rPr>
          <t>Page 87 of PDF, 10-K</t>
        </r>
      </text>
    </comment>
    <comment ref="F38" authorId="1" shapeId="0" xr:uid="{A1E1988B-37EE-4C04-B756-E04B811F51BA}">
      <text>
        <r>
          <rPr>
            <b/>
            <sz val="9"/>
            <color indexed="81"/>
            <rFont val="Tahoma"/>
            <family val="2"/>
          </rPr>
          <t>Baker, Mike A (DOR):</t>
        </r>
        <r>
          <rPr>
            <sz val="9"/>
            <color indexed="81"/>
            <rFont val="Tahoma"/>
            <family val="2"/>
          </rPr>
          <t xml:space="preserve">
Page 83   10K</t>
        </r>
      </text>
    </comment>
    <comment ref="G38" authorId="4" shapeId="0" xr:uid="{27DEC5AF-944A-42A5-9079-31A42D4041E1}">
      <text>
        <r>
          <rPr>
            <sz val="9"/>
            <color indexed="81"/>
            <rFont val="Tahoma"/>
            <family val="2"/>
          </rPr>
          <t>Page 134 of PDF, 10-K</t>
        </r>
      </text>
    </comment>
    <comment ref="F39" authorId="1" shapeId="0" xr:uid="{16FC21F1-8651-4155-8512-79B5C51FBC56}">
      <text>
        <r>
          <rPr>
            <b/>
            <sz val="9"/>
            <color indexed="81"/>
            <rFont val="Tahoma"/>
            <family val="2"/>
          </rPr>
          <t>Baker, Mike A (DOR):</t>
        </r>
        <r>
          <rPr>
            <sz val="9"/>
            <color indexed="81"/>
            <rFont val="Tahoma"/>
            <family val="2"/>
          </rPr>
          <t xml:space="preserve">
Page 92 10K</t>
        </r>
      </text>
    </comment>
    <comment ref="G39" authorId="4" shapeId="0" xr:uid="{3DAB41D3-DD88-45C0-BA80-88DBD1BF86EB}">
      <text>
        <r>
          <rPr>
            <sz val="9"/>
            <color indexed="81"/>
            <rFont val="Tahoma"/>
            <family val="2"/>
          </rPr>
          <t>Page 89 of PDF, 10-K</t>
        </r>
      </text>
    </comment>
    <comment ref="F40" authorId="4" shapeId="0" xr:uid="{8E7F1572-9A1A-4005-95A9-3D8EEDEBB39C}">
      <text>
        <r>
          <rPr>
            <sz val="9"/>
            <color indexed="81"/>
            <rFont val="Tahoma"/>
            <family val="2"/>
          </rPr>
          <t>Page 100 of PDF, 10-K</t>
        </r>
      </text>
    </comment>
    <comment ref="G40" authorId="4" shapeId="0" xr:uid="{D21694DF-9373-4B4C-B689-F1D0822FC211}">
      <text>
        <r>
          <rPr>
            <sz val="9"/>
            <color indexed="81"/>
            <rFont val="Tahoma"/>
            <family val="2"/>
          </rPr>
          <t>Page 104 of PDF, 10-K</t>
        </r>
      </text>
    </comment>
    <comment ref="F41" authorId="1" shapeId="0" xr:uid="{0EBB846C-11BD-46CE-B78D-41BC0CD4BC9A}">
      <text>
        <r>
          <rPr>
            <b/>
            <sz val="9"/>
            <color indexed="81"/>
            <rFont val="Tahoma"/>
            <family val="2"/>
          </rPr>
          <t>Baker, Mike A (DOR):</t>
        </r>
        <r>
          <rPr>
            <sz val="9"/>
            <color indexed="81"/>
            <rFont val="Tahoma"/>
            <family val="2"/>
          </rPr>
          <t xml:space="preserve">
Page 62 10K PV pmnt</t>
        </r>
      </text>
    </comment>
    <comment ref="G41" authorId="4" shapeId="0" xr:uid="{223F66E5-BD0A-4142-B129-ED0F42D293C2}">
      <text>
        <r>
          <rPr>
            <sz val="9"/>
            <color indexed="81"/>
            <rFont val="Tahoma"/>
            <family val="2"/>
          </rPr>
          <t>Page 67 of PDF, 10-K</t>
        </r>
      </text>
    </comment>
    <comment ref="G42" authorId="4" shapeId="0" xr:uid="{19CA84F0-8F40-46FB-A37E-6AB9CD6AA86B}">
      <text>
        <r>
          <rPr>
            <sz val="9"/>
            <color indexed="81"/>
            <rFont val="Tahoma"/>
            <family val="2"/>
          </rPr>
          <t>Page 64 of PDF, 10-K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rev3569</author>
  </authors>
  <commentList>
    <comment ref="E22" authorId="0" shapeId="0" xr:uid="{4C990E4B-559E-4BDC-B008-727700064683}">
      <text>
        <r>
          <rPr>
            <b/>
            <sz val="9"/>
            <color indexed="81"/>
            <rFont val="Tahoma"/>
            <family val="2"/>
          </rPr>
          <t>rev3569:</t>
        </r>
        <r>
          <rPr>
            <sz val="9"/>
            <color indexed="81"/>
            <rFont val="Tahoma"/>
            <family val="2"/>
          </rPr>
          <t xml:space="preserve">
10K BS pg72 or CSE pg74
</t>
        </r>
      </text>
    </comment>
    <comment ref="E23" authorId="0" shapeId="0" xr:uid="{1C142D92-EBEF-49E8-A611-706FDE6E2D44}">
      <text>
        <r>
          <rPr>
            <b/>
            <sz val="9"/>
            <color indexed="81"/>
            <rFont val="Tahoma"/>
            <family val="2"/>
          </rPr>
          <t>rev3569:</t>
        </r>
        <r>
          <rPr>
            <sz val="9"/>
            <color indexed="81"/>
            <rFont val="Tahoma"/>
            <family val="2"/>
          </rPr>
          <t xml:space="preserve">
10K BS pg83 or CSE pg87</t>
        </r>
      </text>
    </comment>
    <comment ref="E24" authorId="0" shapeId="0" xr:uid="{02304C67-F19F-4DB4-A5FA-6981D8F360EA}">
      <text>
        <r>
          <rPr>
            <b/>
            <sz val="9"/>
            <color indexed="81"/>
            <rFont val="Tahoma"/>
            <family val="2"/>
          </rPr>
          <t>rev3569:</t>
        </r>
        <r>
          <rPr>
            <sz val="9"/>
            <color indexed="81"/>
            <rFont val="Tahoma"/>
            <family val="2"/>
          </rPr>
          <t xml:space="preserve">
10K BS pg58 or CSE pg60</t>
        </r>
      </text>
    </comment>
    <comment ref="E25" authorId="0" shapeId="0" xr:uid="{52E91469-FFBD-4075-810A-9C50C8E5F2EE}">
      <text>
        <r>
          <rPr>
            <b/>
            <sz val="9"/>
            <color indexed="81"/>
            <rFont val="Tahoma"/>
            <family val="2"/>
          </rPr>
          <t>rev3569:</t>
        </r>
        <r>
          <rPr>
            <sz val="9"/>
            <color indexed="81"/>
            <rFont val="Tahoma"/>
            <family val="2"/>
          </rPr>
          <t xml:space="preserve">
10K BS pg71 or CSE pg73</t>
        </r>
      </text>
    </comment>
    <comment ref="E26" authorId="0" shapeId="0" xr:uid="{26D5BB1F-7C64-4341-A893-2437DB86D0B0}">
      <text>
        <r>
          <rPr>
            <b/>
            <sz val="9"/>
            <color indexed="81"/>
            <rFont val="Tahoma"/>
            <family val="2"/>
          </rPr>
          <t>rev3569:</t>
        </r>
        <r>
          <rPr>
            <sz val="9"/>
            <color indexed="81"/>
            <rFont val="Tahoma"/>
            <family val="2"/>
          </rPr>
          <t xml:space="preserve">
10K BS pg48 or CSE pg51</t>
        </r>
      </text>
    </comment>
    <comment ref="E27" authorId="0" shapeId="0" xr:uid="{A017E581-FF59-47C4-A7C1-9C5F68A0D121}">
      <text>
        <r>
          <rPr>
            <b/>
            <sz val="9"/>
            <color indexed="81"/>
            <rFont val="Tahoma"/>
            <family val="2"/>
          </rPr>
          <t>rev3569:</t>
        </r>
        <r>
          <rPr>
            <sz val="9"/>
            <color indexed="81"/>
            <rFont val="Tahoma"/>
            <family val="2"/>
          </rPr>
          <t xml:space="preserve">
10K BS pg50 or CSE pg51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rev3569</author>
    <author>Baker, Mike A (DOR)</author>
  </authors>
  <commentList>
    <comment ref="D20" authorId="0" shapeId="0" xr:uid="{6ED5FDF5-8358-448A-B798-79C8E0464FBF}">
      <text>
        <r>
          <rPr>
            <b/>
            <sz val="9"/>
            <color indexed="81"/>
            <rFont val="Tahoma"/>
            <family val="2"/>
          </rPr>
          <t>rev3569:</t>
        </r>
        <r>
          <rPr>
            <sz val="9"/>
            <color indexed="81"/>
            <rFont val="Tahoma"/>
            <family val="2"/>
          </rPr>
          <t xml:space="preserve">
10K pg 71</t>
        </r>
      </text>
    </comment>
    <comment ref="E20" authorId="0" shapeId="0" xr:uid="{1700B19C-F6CB-46F2-9C98-B6854BFA7790}">
      <text>
        <r>
          <rPr>
            <b/>
            <sz val="9"/>
            <color indexed="81"/>
            <rFont val="Tahoma"/>
            <family val="2"/>
          </rPr>
          <t>rev3569:</t>
        </r>
        <r>
          <rPr>
            <sz val="9"/>
            <color indexed="81"/>
            <rFont val="Tahoma"/>
            <family val="2"/>
          </rPr>
          <t xml:space="preserve">
10K pg 65</t>
        </r>
      </text>
    </comment>
    <comment ref="G20" authorId="0" shapeId="0" xr:uid="{22EA250A-1FFF-4448-A877-EC7EAD4CC6FA}">
      <text>
        <r>
          <rPr>
            <b/>
            <sz val="9"/>
            <color indexed="81"/>
            <rFont val="Tahoma"/>
            <family val="2"/>
          </rPr>
          <t>rev3569:</t>
        </r>
        <r>
          <rPr>
            <sz val="9"/>
            <color indexed="81"/>
            <rFont val="Tahoma"/>
            <family val="2"/>
          </rPr>
          <t xml:space="preserve">
10K pg68</t>
        </r>
      </text>
    </comment>
    <comment ref="D21" authorId="0" shapeId="0" xr:uid="{2DD75A5E-9B66-42D7-AA05-1E284D69B2A1}">
      <text>
        <r>
          <rPr>
            <b/>
            <sz val="9"/>
            <color indexed="81"/>
            <rFont val="Tahoma"/>
            <family val="2"/>
          </rPr>
          <t>rev3569:</t>
        </r>
        <r>
          <rPr>
            <sz val="9"/>
            <color indexed="81"/>
            <rFont val="Tahoma"/>
            <family val="2"/>
          </rPr>
          <t xml:space="preserve">
10K pg 82</t>
        </r>
      </text>
    </comment>
    <comment ref="E21" authorId="0" shapeId="0" xr:uid="{FAE51E18-CCDA-4727-B6F4-980BE793567C}">
      <text>
        <r>
          <rPr>
            <b/>
            <sz val="9"/>
            <color indexed="81"/>
            <rFont val="Tahoma"/>
            <family val="2"/>
          </rPr>
          <t>rev3569:</t>
        </r>
        <r>
          <rPr>
            <sz val="9"/>
            <color indexed="81"/>
            <rFont val="Tahoma"/>
            <family val="2"/>
          </rPr>
          <t xml:space="preserve">
10K pg 79</t>
        </r>
      </text>
    </comment>
    <comment ref="G21" authorId="1" shapeId="0" xr:uid="{B7A66813-86FA-467E-83D5-0B31410BFF75}">
      <text>
        <r>
          <rPr>
            <b/>
            <sz val="9"/>
            <color indexed="81"/>
            <rFont val="Tahoma"/>
            <family val="2"/>
          </rPr>
          <t>Baker, Mike A (DOR):</t>
        </r>
        <r>
          <rPr>
            <sz val="9"/>
            <color indexed="81"/>
            <rFont val="Tahoma"/>
            <family val="2"/>
          </rPr>
          <t xml:space="preserve">
See 10K page 84</t>
        </r>
      </text>
    </comment>
    <comment ref="D22" authorId="0" shapeId="0" xr:uid="{58CB2FF6-BA6B-4265-9C71-FC55DC210226}">
      <text>
        <r>
          <rPr>
            <b/>
            <sz val="9"/>
            <color indexed="81"/>
            <rFont val="Tahoma"/>
            <family val="2"/>
          </rPr>
          <t>rev3569:</t>
        </r>
        <r>
          <rPr>
            <sz val="9"/>
            <color indexed="81"/>
            <rFont val="Tahoma"/>
            <family val="2"/>
          </rPr>
          <t xml:space="preserve">
10K pg53</t>
        </r>
      </text>
    </comment>
    <comment ref="E22" authorId="0" shapeId="0" xr:uid="{9AFEC9F3-5668-420B-8468-92A0E97CC499}">
      <text>
        <r>
          <rPr>
            <b/>
            <sz val="9"/>
            <color indexed="81"/>
            <rFont val="Tahoma"/>
            <family val="2"/>
          </rPr>
          <t>rev3569:</t>
        </r>
        <r>
          <rPr>
            <sz val="9"/>
            <color indexed="81"/>
            <rFont val="Tahoma"/>
            <family val="2"/>
          </rPr>
          <t xml:space="preserve">
10K pg53</t>
        </r>
      </text>
    </comment>
    <comment ref="G22" authorId="0" shapeId="0" xr:uid="{64A9B1EB-A3C7-46BC-AF84-C01CF98BBD96}">
      <text>
        <r>
          <rPr>
            <b/>
            <sz val="9"/>
            <color indexed="81"/>
            <rFont val="Tahoma"/>
            <family val="2"/>
          </rPr>
          <t>rev3569:</t>
        </r>
        <r>
          <rPr>
            <sz val="9"/>
            <color indexed="81"/>
            <rFont val="Tahoma"/>
            <family val="2"/>
          </rPr>
          <t xml:space="preserve">
10K pg59</t>
        </r>
      </text>
    </comment>
    <comment ref="D23" authorId="0" shapeId="0" xr:uid="{2FA6AB06-4C2A-4C0F-AEC8-7177A8193270}">
      <text>
        <r>
          <rPr>
            <b/>
            <sz val="9"/>
            <color indexed="81"/>
            <rFont val="Tahoma"/>
            <family val="2"/>
          </rPr>
          <t>rev3569:</t>
        </r>
        <r>
          <rPr>
            <sz val="9"/>
            <color indexed="81"/>
            <rFont val="Tahoma"/>
            <family val="2"/>
          </rPr>
          <t xml:space="preserve">
10K pg70</t>
        </r>
      </text>
    </comment>
    <comment ref="E23" authorId="0" shapeId="0" xr:uid="{86F61B5D-C58F-472A-8A54-8584F0344A55}">
      <text>
        <r>
          <rPr>
            <b/>
            <sz val="9"/>
            <color indexed="81"/>
            <rFont val="Tahoma"/>
            <family val="2"/>
          </rPr>
          <t>rev3569:</t>
        </r>
        <r>
          <rPr>
            <sz val="9"/>
            <color indexed="81"/>
            <rFont val="Tahoma"/>
            <family val="2"/>
          </rPr>
          <t xml:space="preserve">
10K pg67</t>
        </r>
      </text>
    </comment>
    <comment ref="G23" authorId="1" shapeId="0" xr:uid="{A83481BB-66B5-4064-8F25-72867251FC97}">
      <text>
        <r>
          <rPr>
            <b/>
            <sz val="9"/>
            <color indexed="81"/>
            <rFont val="Tahoma"/>
            <family val="2"/>
          </rPr>
          <t>Baker, Mike A (DOR):</t>
        </r>
        <r>
          <rPr>
            <sz val="9"/>
            <color indexed="81"/>
            <rFont val="Tahoma"/>
            <family val="2"/>
          </rPr>
          <t xml:space="preserve">
See 10K page 72</t>
        </r>
      </text>
    </comment>
    <comment ref="D24" authorId="0" shapeId="0" xr:uid="{47B87F31-512D-4B4D-A18A-87CF438BA597}">
      <text>
        <r>
          <rPr>
            <b/>
            <sz val="9"/>
            <color indexed="81"/>
            <rFont val="Tahoma"/>
            <family val="2"/>
          </rPr>
          <t>rev3569:</t>
        </r>
        <r>
          <rPr>
            <sz val="9"/>
            <color indexed="81"/>
            <rFont val="Tahoma"/>
            <family val="2"/>
          </rPr>
          <t xml:space="preserve">
10K pg48</t>
        </r>
      </text>
    </comment>
    <comment ref="E24" authorId="0" shapeId="0" xr:uid="{4BA92846-32C4-4D87-92CE-D4432B5777CF}">
      <text>
        <r>
          <rPr>
            <b/>
            <sz val="9"/>
            <color indexed="81"/>
            <rFont val="Tahoma"/>
            <family val="2"/>
          </rPr>
          <t>rev3569:</t>
        </r>
        <r>
          <rPr>
            <sz val="9"/>
            <color indexed="81"/>
            <rFont val="Tahoma"/>
            <family val="2"/>
          </rPr>
          <t xml:space="preserve">
10K pg41</t>
        </r>
      </text>
    </comment>
    <comment ref="G24" authorId="1" shapeId="0" xr:uid="{FCE70384-2EFA-4289-B030-40F1A816F291}">
      <text>
        <r>
          <rPr>
            <b/>
            <sz val="9"/>
            <color indexed="81"/>
            <rFont val="Tahoma"/>
            <family val="2"/>
          </rPr>
          <t>Baker, Mike A (DOR):</t>
        </r>
        <r>
          <rPr>
            <sz val="9"/>
            <color indexed="81"/>
            <rFont val="Tahoma"/>
            <family val="2"/>
          </rPr>
          <t xml:space="preserve">
See 10K page47</t>
        </r>
      </text>
    </comment>
    <comment ref="D25" authorId="0" shapeId="0" xr:uid="{8D8F0F9D-9ED0-476B-A63B-61DA7A5411CD}">
      <text>
        <r>
          <rPr>
            <b/>
            <sz val="9"/>
            <color indexed="81"/>
            <rFont val="Tahoma"/>
            <family val="2"/>
          </rPr>
          <t>rev3569:</t>
        </r>
        <r>
          <rPr>
            <sz val="9"/>
            <color indexed="81"/>
            <rFont val="Tahoma"/>
            <family val="2"/>
          </rPr>
          <t xml:space="preserve">
10K pg48</t>
        </r>
      </text>
    </comment>
    <comment ref="E25" authorId="0" shapeId="0" xr:uid="{9CD85D79-3E73-47CD-A0E2-53DAAED8E467}">
      <text>
        <r>
          <rPr>
            <b/>
            <sz val="9"/>
            <color indexed="81"/>
            <rFont val="Tahoma"/>
            <family val="2"/>
          </rPr>
          <t>rev3569:</t>
        </r>
        <r>
          <rPr>
            <sz val="9"/>
            <color indexed="81"/>
            <rFont val="Tahoma"/>
            <family val="2"/>
          </rPr>
          <t xml:space="preserve">
10K pg49</t>
        </r>
      </text>
    </comment>
    <comment ref="G25" authorId="1" shapeId="0" xr:uid="{DC614E0E-2ADD-4D0E-94C1-05A09225FF5E}">
      <text>
        <r>
          <rPr>
            <b/>
            <sz val="9"/>
            <color indexed="81"/>
            <rFont val="Tahoma"/>
            <family val="2"/>
          </rPr>
          <t>Baker, Mike A (DOR):</t>
        </r>
        <r>
          <rPr>
            <sz val="9"/>
            <color indexed="81"/>
            <rFont val="Tahoma"/>
            <family val="2"/>
          </rPr>
          <t xml:space="preserve">
See 10K page 50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rev3569</author>
  </authors>
  <commentList>
    <comment ref="C19" authorId="0" shapeId="0" xr:uid="{86348D41-216C-4749-815B-460DF49DD16F}">
      <text>
        <r>
          <rPr>
            <b/>
            <sz val="9"/>
            <color indexed="81"/>
            <rFont val="Tahoma"/>
            <family val="2"/>
          </rPr>
          <t>rev3569:</t>
        </r>
        <r>
          <rPr>
            <sz val="9"/>
            <color indexed="81"/>
            <rFont val="Tahoma"/>
            <family val="2"/>
          </rPr>
          <t xml:space="preserve">
10K pg74</t>
        </r>
      </text>
    </comment>
    <comment ref="C20" authorId="0" shapeId="0" xr:uid="{22E4B502-3589-46F2-8AEF-F3928B307251}">
      <text>
        <r>
          <rPr>
            <b/>
            <sz val="9"/>
            <color indexed="81"/>
            <rFont val="Tahoma"/>
            <family val="2"/>
          </rPr>
          <t>rev3569:</t>
        </r>
        <r>
          <rPr>
            <sz val="9"/>
            <color indexed="81"/>
            <rFont val="Tahoma"/>
            <family val="2"/>
          </rPr>
          <t xml:space="preserve">
10K pg84</t>
        </r>
      </text>
    </comment>
    <comment ref="C21" authorId="0" shapeId="0" xr:uid="{45DC1AC7-48B9-4907-823B-BB167C9C6B83}">
      <text>
        <r>
          <rPr>
            <b/>
            <sz val="9"/>
            <color indexed="81"/>
            <rFont val="Tahoma"/>
            <family val="2"/>
          </rPr>
          <t>rev3569:</t>
        </r>
        <r>
          <rPr>
            <sz val="9"/>
            <color indexed="81"/>
            <rFont val="Tahoma"/>
            <family val="2"/>
          </rPr>
          <t xml:space="preserve">
10K pg59</t>
        </r>
      </text>
    </comment>
    <comment ref="C22" authorId="0" shapeId="0" xr:uid="{5AEA565E-5771-47C0-9C5B-EF62BA93CE50}">
      <text>
        <r>
          <rPr>
            <b/>
            <sz val="9"/>
            <color indexed="81"/>
            <rFont val="Tahoma"/>
            <family val="2"/>
          </rPr>
          <t>rev3569:</t>
        </r>
        <r>
          <rPr>
            <sz val="9"/>
            <color indexed="81"/>
            <rFont val="Tahoma"/>
            <family val="2"/>
          </rPr>
          <t xml:space="preserve">
10K pg69</t>
        </r>
      </text>
    </comment>
    <comment ref="C23" authorId="0" shapeId="0" xr:uid="{E39E0118-13BC-4F93-A24F-5040602B85EF}">
      <text>
        <r>
          <rPr>
            <b/>
            <sz val="9"/>
            <color indexed="81"/>
            <rFont val="Tahoma"/>
            <family val="2"/>
          </rPr>
          <t>rev3569:</t>
        </r>
        <r>
          <rPr>
            <sz val="9"/>
            <color indexed="81"/>
            <rFont val="Tahoma"/>
            <family val="2"/>
          </rPr>
          <t xml:space="preserve">
10K pg47</t>
        </r>
      </text>
    </comment>
    <comment ref="C24" authorId="0" shapeId="0" xr:uid="{28FE72E0-B26B-4DFB-99A9-27C0D775DF37}">
      <text>
        <r>
          <rPr>
            <b/>
            <sz val="9"/>
            <color indexed="81"/>
            <rFont val="Tahoma"/>
            <family val="2"/>
          </rPr>
          <t>rev3569:</t>
        </r>
        <r>
          <rPr>
            <sz val="9"/>
            <color indexed="81"/>
            <rFont val="Tahoma"/>
            <family val="2"/>
          </rPr>
          <t xml:space="preserve">
10K pg50</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rev3569</author>
  </authors>
  <commentList>
    <comment ref="J15" authorId="0" shapeId="0" xr:uid="{232E4411-4617-4C9A-9E89-D62231873C36}">
      <text>
        <r>
          <rPr>
            <b/>
            <sz val="9"/>
            <color indexed="81"/>
            <rFont val="Tahoma"/>
            <family val="2"/>
          </rPr>
          <t>rev3569:</t>
        </r>
        <r>
          <rPr>
            <sz val="9"/>
            <color indexed="81"/>
            <rFont val="Tahoma"/>
            <family val="2"/>
          </rPr>
          <t xml:space="preserve">
</t>
        </r>
        <r>
          <rPr>
            <sz val="10"/>
            <color indexed="81"/>
            <rFont val="Tahoma"/>
            <family val="2"/>
          </rPr>
          <t>Cost of Debt spreadsheet</t>
        </r>
      </text>
    </comment>
    <comment ref="J16" authorId="0" shapeId="0" xr:uid="{ADF9B527-AA20-4FB2-95DA-ADC673CCD824}">
      <text>
        <r>
          <rPr>
            <b/>
            <sz val="9"/>
            <color indexed="81"/>
            <rFont val="Tahoma"/>
            <family val="2"/>
          </rPr>
          <t>rev3569:</t>
        </r>
        <r>
          <rPr>
            <sz val="9"/>
            <color indexed="81"/>
            <rFont val="Tahoma"/>
            <family val="2"/>
          </rPr>
          <t xml:space="preserve">
</t>
        </r>
        <r>
          <rPr>
            <sz val="10"/>
            <color indexed="81"/>
            <rFont val="Tahoma"/>
            <family val="2"/>
          </rPr>
          <t>Cost of Debt spreadsheet</t>
        </r>
      </text>
    </comment>
    <comment ref="J17" authorId="0" shapeId="0" xr:uid="{A76F2F65-A94B-48F6-BAAA-8DA8C0A0807C}">
      <text>
        <r>
          <rPr>
            <b/>
            <sz val="9"/>
            <color indexed="81"/>
            <rFont val="Tahoma"/>
            <family val="2"/>
          </rPr>
          <t>rev3569:</t>
        </r>
        <r>
          <rPr>
            <sz val="9"/>
            <color indexed="81"/>
            <rFont val="Tahoma"/>
            <family val="2"/>
          </rPr>
          <t xml:space="preserve">
</t>
        </r>
        <r>
          <rPr>
            <sz val="10"/>
            <color indexed="81"/>
            <rFont val="Tahoma"/>
            <family val="2"/>
          </rPr>
          <t>Cost of Debt spreadsheet</t>
        </r>
      </text>
    </comment>
    <comment ref="J18" authorId="0" shapeId="0" xr:uid="{E93CF2F3-B683-4BBB-88D7-CBA897E334CD}">
      <text>
        <r>
          <rPr>
            <b/>
            <sz val="9"/>
            <color indexed="81"/>
            <rFont val="Tahoma"/>
            <family val="2"/>
          </rPr>
          <t>rev3569:</t>
        </r>
        <r>
          <rPr>
            <sz val="9"/>
            <color indexed="81"/>
            <rFont val="Tahoma"/>
            <family val="2"/>
          </rPr>
          <t xml:space="preserve">
</t>
        </r>
        <r>
          <rPr>
            <sz val="10"/>
            <color indexed="81"/>
            <rFont val="Tahoma"/>
            <family val="2"/>
          </rPr>
          <t>Cost of Debt spreadsheet</t>
        </r>
      </text>
    </comment>
    <comment ref="J19" authorId="0" shapeId="0" xr:uid="{CCE8FC6A-762B-427C-B058-80EECAB87AD1}">
      <text>
        <r>
          <rPr>
            <b/>
            <sz val="9"/>
            <color indexed="81"/>
            <rFont val="Tahoma"/>
            <family val="2"/>
          </rPr>
          <t>rev3569:</t>
        </r>
        <r>
          <rPr>
            <sz val="9"/>
            <color indexed="81"/>
            <rFont val="Tahoma"/>
            <family val="2"/>
          </rPr>
          <t xml:space="preserve">
</t>
        </r>
        <r>
          <rPr>
            <sz val="10"/>
            <color indexed="81"/>
            <rFont val="Tahoma"/>
            <family val="2"/>
          </rPr>
          <t>Cost of Debt spreadsheet</t>
        </r>
      </text>
    </comment>
    <comment ref="J20" authorId="0" shapeId="0" xr:uid="{6FB616E0-BC94-4D45-9B97-4878740DE7DE}">
      <text>
        <r>
          <rPr>
            <b/>
            <sz val="9"/>
            <color indexed="81"/>
            <rFont val="Tahoma"/>
            <family val="2"/>
          </rPr>
          <t>rev3569:</t>
        </r>
        <r>
          <rPr>
            <sz val="9"/>
            <color indexed="81"/>
            <rFont val="Tahoma"/>
            <family val="2"/>
          </rPr>
          <t xml:space="preserve">
</t>
        </r>
        <r>
          <rPr>
            <sz val="10"/>
            <color indexed="81"/>
            <rFont val="Tahoma"/>
            <family val="2"/>
          </rPr>
          <t>Cost of Debt spreadsheet</t>
        </r>
      </text>
    </comment>
  </commentList>
</comments>
</file>

<file path=xl/sharedStrings.xml><?xml version="1.0" encoding="utf-8"?>
<sst xmlns="http://schemas.openxmlformats.org/spreadsheetml/2006/main" count="1524" uniqueCount="498">
  <si>
    <t xml:space="preserve"> </t>
  </si>
  <si>
    <t>KENTUCKY DEPARTMENT OF REVENUE</t>
  </si>
  <si>
    <t>Company</t>
  </si>
  <si>
    <t>Ticker</t>
  </si>
  <si>
    <t>Symbol</t>
  </si>
  <si>
    <t xml:space="preserve">Industry </t>
  </si>
  <si>
    <t>Group</t>
  </si>
  <si>
    <t>VL</t>
  </si>
  <si>
    <t>10K / SEC</t>
  </si>
  <si>
    <t>DIVISION OF STATE VALUATION, PUBLIC SERVICE BRANCH</t>
  </si>
  <si>
    <t>Stock Price</t>
  </si>
  <si>
    <t>Preferred Stock</t>
  </si>
  <si>
    <t>Common Stock</t>
  </si>
  <si>
    <t>4th Qtr</t>
  </si>
  <si>
    <t>FMV</t>
  </si>
  <si>
    <t>Calculated</t>
  </si>
  <si>
    <t>Total Market Value</t>
  </si>
  <si>
    <t>% Common Stock</t>
  </si>
  <si>
    <t>Median</t>
  </si>
  <si>
    <t>Average</t>
  </si>
  <si>
    <t xml:space="preserve">Financial </t>
  </si>
  <si>
    <t xml:space="preserve">Actual </t>
  </si>
  <si>
    <t>Strength</t>
  </si>
  <si>
    <t>Tax Rate</t>
  </si>
  <si>
    <t>A</t>
  </si>
  <si>
    <t>B+</t>
  </si>
  <si>
    <t>Computed</t>
  </si>
  <si>
    <t>Price</t>
  </si>
  <si>
    <t>Multiple</t>
  </si>
  <si>
    <t>Inverse</t>
  </si>
  <si>
    <t>KENTUCKY</t>
  </si>
  <si>
    <t xml:space="preserve">Source of </t>
  </si>
  <si>
    <t>Capital</t>
  </si>
  <si>
    <t>Cost of Capital</t>
  </si>
  <si>
    <t>Weighted</t>
  </si>
  <si>
    <t>Structure</t>
  </si>
  <si>
    <t>Rate</t>
  </si>
  <si>
    <t>After Tax</t>
  </si>
  <si>
    <t>Cost</t>
  </si>
  <si>
    <t>EQUITY</t>
  </si>
  <si>
    <t>-</t>
  </si>
  <si>
    <t>DEBT</t>
  </si>
  <si>
    <t>TOTAL</t>
  </si>
  <si>
    <t>A+</t>
  </si>
  <si>
    <t xml:space="preserve">  </t>
  </si>
  <si>
    <t>High</t>
  </si>
  <si>
    <t>Low</t>
  </si>
  <si>
    <t>Mergent Bond</t>
  </si>
  <si>
    <t>Rating</t>
  </si>
  <si>
    <t>Debt Rate</t>
  </si>
  <si>
    <t>S &amp; P</t>
  </si>
  <si>
    <t>% LT Debt &amp; Pref Stock</t>
  </si>
  <si>
    <t>Baa1</t>
  </si>
  <si>
    <t>Baa2</t>
  </si>
  <si>
    <t>The capital structure of this industry is a representative or typical capital structure of the group, not that of the present owner.  The capital structure selected reflects the most likely arrangement of a prospective buyer.</t>
  </si>
  <si>
    <t>A1</t>
  </si>
  <si>
    <t>Ba1</t>
  </si>
  <si>
    <t>A3</t>
  </si>
  <si>
    <t>Baa3</t>
  </si>
  <si>
    <t>A-</t>
  </si>
  <si>
    <t>Book Value</t>
  </si>
  <si>
    <t>Shares Issued less Treasury</t>
  </si>
  <si>
    <t>DIRECT CAPITALIZATION RATE CONCLUSION</t>
  </si>
  <si>
    <t>YIELD CAPITALIZATION RATE CONCLUSION</t>
  </si>
  <si>
    <t>GCF After Tax</t>
  </si>
  <si>
    <t>Capitalization Rate</t>
  </si>
  <si>
    <t>Capitalization</t>
  </si>
  <si>
    <t>Marginal</t>
  </si>
  <si>
    <t>CAP RATE</t>
  </si>
  <si>
    <t>NOI After Tax  (NOPAT)</t>
  </si>
  <si>
    <t>WACC</t>
  </si>
  <si>
    <t>Notes:</t>
  </si>
  <si>
    <t>Shares Outstanding *</t>
  </si>
  <si>
    <t>Selected</t>
  </si>
  <si>
    <t>CAPITAL STRUCTURE</t>
  </si>
  <si>
    <t>Maintenance Capital Expenditures</t>
  </si>
  <si>
    <t>Estimate using Guideline Companies</t>
  </si>
  <si>
    <t>Inflation</t>
  </si>
  <si>
    <t>Rate %</t>
  </si>
  <si>
    <t>CPI</t>
  </si>
  <si>
    <t>PP&amp;E Gross</t>
  </si>
  <si>
    <t>PP&amp;E</t>
  </si>
  <si>
    <t>Previous Year</t>
  </si>
  <si>
    <t>Current Year</t>
  </si>
  <si>
    <t>Depreciation</t>
  </si>
  <si>
    <t>Expense</t>
  </si>
  <si>
    <t xml:space="preserve">Average Life of </t>
  </si>
  <si>
    <t>Assets</t>
  </si>
  <si>
    <t>B</t>
  </si>
  <si>
    <t>C</t>
  </si>
  <si>
    <t>D</t>
  </si>
  <si>
    <t>E</t>
  </si>
  <si>
    <t>F</t>
  </si>
  <si>
    <t>G</t>
  </si>
  <si>
    <t>H</t>
  </si>
  <si>
    <t>I</t>
  </si>
  <si>
    <t>J</t>
  </si>
  <si>
    <t>K</t>
  </si>
  <si>
    <t>F/G</t>
  </si>
  <si>
    <t>C*H</t>
  </si>
  <si>
    <t>1/(1=C)^H</t>
  </si>
  <si>
    <t>Replacement</t>
  </si>
  <si>
    <t xml:space="preserve">Cost </t>
  </si>
  <si>
    <t>RC as % of</t>
  </si>
  <si>
    <t>K/G</t>
  </si>
  <si>
    <t>L</t>
  </si>
  <si>
    <t>(D+E)/2</t>
  </si>
  <si>
    <t>(G*I) / (1-J)</t>
  </si>
  <si>
    <t>*</t>
  </si>
  <si>
    <t>Gross Cash Flow</t>
  </si>
  <si>
    <t>NOPAT</t>
  </si>
  <si>
    <t>VL Projected NOI</t>
  </si>
  <si>
    <t xml:space="preserve">Year End </t>
  </si>
  <si>
    <t>VL Historic</t>
  </si>
  <si>
    <t>VL Projected</t>
  </si>
  <si>
    <t>Interest Expense</t>
  </si>
  <si>
    <t>Mkt Value LT Debt</t>
  </si>
  <si>
    <t>Book Value LT Debt</t>
  </si>
  <si>
    <t>Current</t>
  </si>
  <si>
    <t>Yield</t>
  </si>
  <si>
    <t>C/H</t>
  </si>
  <si>
    <t>(D+F)/2</t>
  </si>
  <si>
    <t>BETA SELECTION for CAPM</t>
  </si>
  <si>
    <t>SELECTED AVERAGE &gt;</t>
  </si>
  <si>
    <t>Source</t>
  </si>
  <si>
    <t>GDP</t>
  </si>
  <si>
    <t>Nominal</t>
  </si>
  <si>
    <t>Growth</t>
  </si>
  <si>
    <t>DEBT RATE for Yield Approach</t>
  </si>
  <si>
    <t>Book Ratio</t>
  </si>
  <si>
    <t>Mkt to</t>
  </si>
  <si>
    <t>Numeric</t>
  </si>
  <si>
    <t>10K / GAAP</t>
  </si>
  <si>
    <t>Caa3</t>
  </si>
  <si>
    <t>Caa2</t>
  </si>
  <si>
    <t>Caa1</t>
  </si>
  <si>
    <t>B3</t>
  </si>
  <si>
    <t>B2</t>
  </si>
  <si>
    <t>B1</t>
  </si>
  <si>
    <t>Ba3</t>
  </si>
  <si>
    <t>Ba2</t>
  </si>
  <si>
    <t>A2</t>
  </si>
  <si>
    <t>Aa3</t>
  </si>
  <si>
    <t>Aa2</t>
  </si>
  <si>
    <t>Aa1</t>
  </si>
  <si>
    <t>Bond Rating Scale</t>
  </si>
  <si>
    <t>Levered Beta</t>
  </si>
  <si>
    <t>Notes</t>
  </si>
  <si>
    <t>https://www.philadelphiafed.org/research-and-data/real-time-center/livingston-survey</t>
  </si>
  <si>
    <t>https://www.philadelphiafed.org/surveys-and-data/real-time-data-research/survey-of-professional-forecasters</t>
  </si>
  <si>
    <t>https://www.cbo.gov/about/products/budget-economic-data#4</t>
  </si>
  <si>
    <t>Preferred Stock ***</t>
  </si>
  <si>
    <t>Long Term Debt **</t>
  </si>
  <si>
    <t xml:space="preserve">** Debt includes  LT Debt , Current portion of LT Debt, and Finance leases from 10K </t>
  </si>
  <si>
    <t>*** Market value of preferred stock assumed to equal book value</t>
  </si>
  <si>
    <t>* Outstanding stock shares are generally already net of Treasury stock shares</t>
  </si>
  <si>
    <t>MODEL</t>
  </si>
  <si>
    <t>EQUITY RATES for YIELD APPROACH</t>
  </si>
  <si>
    <t>CAPM - The CFO Survey</t>
  </si>
  <si>
    <t>CAPM - Fernandez, Banuls, &amp; Acin</t>
  </si>
  <si>
    <t>CAPM - Ex Post (BVR Historical, Arithmeic)</t>
  </si>
  <si>
    <t>CAPM - Ex Post (BVR Historical, Geometric)</t>
  </si>
  <si>
    <t>Empirical CAPM - The CFO Survey</t>
  </si>
  <si>
    <t>Empirical CAPM - Fernandez, Banuls, &amp; Acin</t>
  </si>
  <si>
    <t>Empirical CAPM - Ex Post (BVR Historical, Arithmeic)</t>
  </si>
  <si>
    <t>Empirical CAPM - Ex Post (BVR Historical, Geometric)</t>
  </si>
  <si>
    <t>Stock</t>
  </si>
  <si>
    <t>Dividends</t>
  </si>
  <si>
    <t>Per Share</t>
  </si>
  <si>
    <t>Dividend</t>
  </si>
  <si>
    <t>Historic</t>
  </si>
  <si>
    <t>Dividend Data</t>
  </si>
  <si>
    <t>Earnings</t>
  </si>
  <si>
    <t>Equity</t>
  </si>
  <si>
    <t>Equity Rate</t>
  </si>
  <si>
    <t>(F+G)</t>
  </si>
  <si>
    <t>(F+H)</t>
  </si>
  <si>
    <t>Dividend Yield</t>
  </si>
  <si>
    <t xml:space="preserve">Projected Short Term </t>
  </si>
  <si>
    <t>DGM - Earnings Growth Rate &gt;</t>
  </si>
  <si>
    <t>DGM - Dividend Growth Rate &gt;</t>
  </si>
  <si>
    <t>Yield Equity Rate - DGM (Two-Stage)</t>
  </si>
  <si>
    <t>Stable</t>
  </si>
  <si>
    <t>Growth Rate</t>
  </si>
  <si>
    <t>Cost of</t>
  </si>
  <si>
    <t>g</t>
  </si>
  <si>
    <t>DY</t>
  </si>
  <si>
    <t>G1</t>
  </si>
  <si>
    <t>(G1 + g)/2</t>
  </si>
  <si>
    <t>KE = (DY X (1 + .5(G))) + .67 (G1) + .33(g)</t>
  </si>
  <si>
    <t>Kentucky</t>
  </si>
  <si>
    <r>
      <t xml:space="preserve">DEBT RATE for Direct Approach </t>
    </r>
    <r>
      <rPr>
        <b/>
        <sz val="12"/>
        <color theme="1"/>
        <rFont val="Microsoft GothicNeo"/>
        <family val="2"/>
        <charset val="129"/>
      </rPr>
      <t>(Embedded)</t>
    </r>
  </si>
  <si>
    <t>Common Equity</t>
  </si>
  <si>
    <t>.</t>
  </si>
  <si>
    <t xml:space="preserve">Obligations rated Ca are highly speculative and are likely in, or very near, default, with some prospect of recovery in principal and interest. </t>
  </si>
  <si>
    <t xml:space="preserve">Obligations rated C are the lowest-rated class of bonds and are typical­ly in default, with little prospect for recovery of principal and interest. </t>
  </si>
  <si>
    <t xml:space="preserve">Obligations rated Caa are judged to be of poor standing and are subject to very high credit risk . </t>
  </si>
  <si>
    <t>Obligations rated Aaa are judged to be of the highest quality, with minimal risk.</t>
  </si>
  <si>
    <t xml:space="preserve">Obligations rated A are considered upper-medium-grade and are sub­ject to low credit risk. </t>
  </si>
  <si>
    <t xml:space="preserve">Obligations rated B are considered speculative and are subject to high credit risk. </t>
  </si>
  <si>
    <t xml:space="preserve">Obligations rated Ba are judged to have speculative elements and are subject to substantial credit risk. </t>
  </si>
  <si>
    <t xml:space="preserve">Obligations rated Baa are subject to moderate credit risk. They are considered medium-grade and as such may possess speculative characteristics. </t>
  </si>
  <si>
    <t>D1 = Expected Dividends</t>
  </si>
  <si>
    <r>
      <t>K</t>
    </r>
    <r>
      <rPr>
        <b/>
        <sz val="10"/>
        <color theme="1"/>
        <rFont val="Microsoft GothicNeo"/>
        <family val="2"/>
        <charset val="129"/>
      </rPr>
      <t>E</t>
    </r>
    <r>
      <rPr>
        <b/>
        <sz val="16"/>
        <color theme="1"/>
        <rFont val="Microsoft GothicNeo"/>
        <family val="2"/>
        <charset val="129"/>
      </rPr>
      <t xml:space="preserve"> = (D</t>
    </r>
    <r>
      <rPr>
        <b/>
        <sz val="10"/>
        <color theme="1"/>
        <rFont val="Microsoft GothicNeo"/>
        <family val="2"/>
        <charset val="129"/>
      </rPr>
      <t>1</t>
    </r>
    <r>
      <rPr>
        <b/>
        <sz val="16"/>
        <color theme="1"/>
        <rFont val="Microsoft GothicNeo"/>
        <family val="2"/>
        <charset val="129"/>
      </rPr>
      <t xml:space="preserve"> / P</t>
    </r>
    <r>
      <rPr>
        <b/>
        <sz val="10"/>
        <color theme="1"/>
        <rFont val="Microsoft GothicNeo"/>
        <family val="2"/>
        <charset val="129"/>
      </rPr>
      <t>o</t>
    </r>
    <r>
      <rPr>
        <b/>
        <sz val="16"/>
        <color theme="1"/>
        <rFont val="Microsoft GothicNeo"/>
        <family val="2"/>
        <charset val="129"/>
      </rPr>
      <t>) + G</t>
    </r>
  </si>
  <si>
    <t>KE = Cost of Equity</t>
  </si>
  <si>
    <t>Po   = Current Price</t>
  </si>
  <si>
    <r>
      <t>Price (P</t>
    </r>
    <r>
      <rPr>
        <b/>
        <sz val="9"/>
        <color theme="1"/>
        <rFont val="Microsoft GothicNeo"/>
        <family val="2"/>
        <charset val="129"/>
      </rPr>
      <t>0</t>
    </r>
    <r>
      <rPr>
        <b/>
        <sz val="11"/>
        <color theme="1"/>
        <rFont val="Microsoft GothicNeo"/>
        <family val="2"/>
        <charset val="129"/>
      </rPr>
      <t>)</t>
    </r>
  </si>
  <si>
    <t xml:space="preserve">Dividend Growth Rate </t>
  </si>
  <si>
    <t xml:space="preserve">Earnings Per Share Growth Rate </t>
  </si>
  <si>
    <r>
      <t>Long Term Debt</t>
    </r>
    <r>
      <rPr>
        <b/>
        <sz val="10"/>
        <color theme="1"/>
        <rFont val="Microsoft GothicNeo"/>
        <family val="2"/>
        <charset val="129"/>
      </rPr>
      <t xml:space="preserve"> </t>
    </r>
  </si>
  <si>
    <t>CAPITAL ASSET PRICING MODEL (CAPM)</t>
  </si>
  <si>
    <t>Selected &gt;</t>
  </si>
  <si>
    <t>Inflation and Gross Domestic Product (GDP) Data</t>
  </si>
  <si>
    <t>INFLATION &amp; GDP</t>
  </si>
  <si>
    <t>SELECTED &gt;</t>
  </si>
  <si>
    <t>Equity Risk Premium (ERP)</t>
  </si>
  <si>
    <t>Indicated Equity Rate</t>
  </si>
  <si>
    <t>Industry Risk Premium</t>
  </si>
  <si>
    <t>Weighted Industry Risk Premium (75%)</t>
  </si>
  <si>
    <t>Weighted Equity Risk Premium (25%)</t>
  </si>
  <si>
    <t xml:space="preserve">The CFO Survey  (4) </t>
  </si>
  <si>
    <t>Fernandez, Banuls &amp; Acin  (5)</t>
  </si>
  <si>
    <t>BVR - Historical, Arithmetic Mean  (6)</t>
  </si>
  <si>
    <t>BVR - Historical, Geometric Mean  (7)</t>
  </si>
  <si>
    <t>Empirical CAPM Models</t>
  </si>
  <si>
    <t>CAPM Models</t>
  </si>
  <si>
    <t>KE = Rf + (B  X  ERP X  75%) = (ERP  X  25%)</t>
  </si>
  <si>
    <t>KE = Rf + (B  X  ERP)</t>
  </si>
  <si>
    <t>Industry Beta (B)</t>
  </si>
  <si>
    <t>Value Line Earnings</t>
  </si>
  <si>
    <t>Value Line Dividends</t>
  </si>
  <si>
    <t>Yahoo Finance</t>
  </si>
  <si>
    <t>Return on</t>
  </si>
  <si>
    <t>Gross Revenue</t>
  </si>
  <si>
    <t>Multiplier</t>
  </si>
  <si>
    <t>NOPAT CASH FLOW MULTIPLE &amp; EQUITY RATE</t>
  </si>
  <si>
    <r>
      <t xml:space="preserve">NOPAT CASH FLOW MULTIPLE &amp; EQUITY RATE </t>
    </r>
    <r>
      <rPr>
        <b/>
        <sz val="12"/>
        <color theme="1"/>
        <rFont val="Microsoft GothicNeo"/>
        <family val="2"/>
        <charset val="129"/>
      </rPr>
      <t>(1 Yr Projected VL)</t>
    </r>
  </si>
  <si>
    <t>Long Term Debt includes LT Debt plus Current Portion of LT debt, plus Finance Leases</t>
  </si>
  <si>
    <t>Two-Stage DGM Rate &gt;</t>
  </si>
  <si>
    <t>DGM - Single Stage - Earnings Growth</t>
  </si>
  <si>
    <t>DGM - Single Stage - Dividend Growth</t>
  </si>
  <si>
    <t>DGM - Two Stage - Dividend Growth</t>
  </si>
  <si>
    <t>VL LT Projected NOI</t>
  </si>
  <si>
    <t>Indicated Rate of Debt &gt;</t>
  </si>
  <si>
    <t>Year End</t>
  </si>
  <si>
    <t>&amp; Finance Leases</t>
  </si>
  <si>
    <t>10K Income Statement</t>
  </si>
  <si>
    <t>10K Balance Sheet</t>
  </si>
  <si>
    <t>Indicated Rate of Equity Selected &gt;</t>
  </si>
  <si>
    <t>NOTE:</t>
  </si>
  <si>
    <t>SHORT-TERM GROWTH RATES (5 years)</t>
  </si>
  <si>
    <t>INFLATION RATES</t>
  </si>
  <si>
    <t>LONG TERM GROWTH RATES</t>
  </si>
  <si>
    <t xml:space="preserve">The Federal Reserve Bank projects their "longer run" estimate of change in the U.S. real Gross Domestice Product (GDP) </t>
  </si>
  <si>
    <t>The World Bank forecasts U.S. GDP</t>
  </si>
  <si>
    <t>GROWTH &amp; INFLATION RATES</t>
  </si>
  <si>
    <t>Real LT Growth</t>
  </si>
  <si>
    <t>Federal Reserve Board members and Federal Reserve Bank presidents estimate of long run personal consumption expenditures inflation (5)</t>
  </si>
  <si>
    <t xml:space="preserve">FRB members &amp; FRB presidents opinion (5) </t>
  </si>
  <si>
    <t>Survey of Professional Forecasters Tables 8 &amp; 9   (3)</t>
  </si>
  <si>
    <t>Federal Reserve Statistical Release  10 Yr Inflation protected Treasury securities (1)</t>
  </si>
  <si>
    <t xml:space="preserve">Federal Reserve Statistical Release  20 Yr Inflation protected Treasury securities (1) </t>
  </si>
  <si>
    <t xml:space="preserve">Federal Reserve Statistical Release  30 Yr Inflation protected Treasury securities (1) </t>
  </si>
  <si>
    <t>Federal Reserve Bank of Philadelphia / Livingston Survey Mean  (2)</t>
  </si>
  <si>
    <t>Federal Reserve Bank of Philadelphia / Livingston Survey  Median (2)</t>
  </si>
  <si>
    <t>“Since no firm can grow forever at a rate higher than the growth rate of the economy in which it operates, the constant growth rate cannot be greater</t>
  </si>
  <si>
    <t xml:space="preserve">than the overall growth rate of the economy.”  Dr. Aswath Damodaran (n.d.) The Stable Growth Rate, </t>
  </si>
  <si>
    <t>http://pages.stern.nyu.edu/~adamodar/New_Home_Page/valquestions/stablegrowthrate.htm</t>
  </si>
  <si>
    <t>*Cornell, B. &amp; Gerger, R. (2017) Estimating Terminal Values with Inflation : The Inputs Matter - It is Not a Formulaic Exercise.  Business Valuation Review, Vol.36, Number 4, 117-123.</t>
  </si>
  <si>
    <t>C1  C2  C3</t>
  </si>
  <si>
    <t>MEDIAN GROWTH RATES</t>
  </si>
  <si>
    <t>SOURCE &gt;</t>
  </si>
  <si>
    <t>SOURCES &gt;</t>
  </si>
  <si>
    <t>1 Yr Projected</t>
  </si>
  <si>
    <t>3-5 Yr Projected</t>
  </si>
  <si>
    <t>Short Term</t>
  </si>
  <si>
    <t>(1)</t>
  </si>
  <si>
    <t>(1)    4 Year compound annual growth rate (CAGR)  - 3 periods</t>
  </si>
  <si>
    <t>Earnings Data</t>
  </si>
  <si>
    <r>
      <t xml:space="preserve">KY DOR                    Earnings Growth Rate                 </t>
    </r>
    <r>
      <rPr>
        <b/>
        <sz val="9"/>
        <color theme="1"/>
        <rFont val="Microsoft GothicNeo"/>
        <family val="2"/>
        <charset val="129"/>
      </rPr>
      <t xml:space="preserve"> (Median / Average)</t>
    </r>
  </si>
  <si>
    <r>
      <t xml:space="preserve">KY DOR                Dividends Growth Rate </t>
    </r>
    <r>
      <rPr>
        <b/>
        <sz val="9"/>
        <color theme="1"/>
        <rFont val="Microsoft GothicNeo"/>
        <family val="2"/>
        <charset val="129"/>
      </rPr>
      <t xml:space="preserve"> (Median / Average)</t>
    </r>
  </si>
  <si>
    <t>YIELD EQUITY RATE</t>
  </si>
  <si>
    <t>g = b X ROE</t>
  </si>
  <si>
    <t>g = LT growth rate</t>
  </si>
  <si>
    <t>b = reinvestment rate</t>
  </si>
  <si>
    <t>ROE = Return on equity (or return on investment)</t>
  </si>
  <si>
    <t>b = g  / ROE</t>
  </si>
  <si>
    <t>The plowback ratio is multiplied by Net Cash Flow to estimate the amount of additional capital expenditures needed to achieve projected results.</t>
  </si>
  <si>
    <t>Reinvestment Rate =</t>
  </si>
  <si>
    <t>EBIT (1-Tax Rate)</t>
  </si>
  <si>
    <t>Capital Expenditures - Depreciation + Change in Working Capital</t>
  </si>
  <si>
    <t>Aswath Damodaran's model to determine the Reinvesment Rate &gt;</t>
  </si>
  <si>
    <t>It is assumed that the ROE is a fixed (unchanging) rate.</t>
  </si>
  <si>
    <t>Maintenance Capital Expenditures and Change in Working Capital</t>
  </si>
  <si>
    <t>http://www.federalreserve.gov/</t>
  </si>
  <si>
    <t>Operating Leases ****</t>
  </si>
  <si>
    <t>Market Value</t>
  </si>
  <si>
    <t>10K</t>
  </si>
  <si>
    <t>Market to</t>
  </si>
  <si>
    <t>Long Term Debt</t>
  </si>
  <si>
    <t xml:space="preserve">Capital </t>
  </si>
  <si>
    <t>Market</t>
  </si>
  <si>
    <t>to Book</t>
  </si>
  <si>
    <t>Composite</t>
  </si>
  <si>
    <t>Total</t>
  </si>
  <si>
    <t>AVERAGE</t>
  </si>
  <si>
    <t>Market to Book Ratios - Obsolescence Measurement</t>
  </si>
  <si>
    <t>Common Total Equity</t>
  </si>
  <si>
    <t>FMV / PV</t>
  </si>
  <si>
    <t>GCF CASH FLOW MULTIPLE &amp; EQUITY RATE</t>
  </si>
  <si>
    <r>
      <t xml:space="preserve">GCF CASH FLOW MULTIPLE &amp; EQUITY RATE </t>
    </r>
    <r>
      <rPr>
        <b/>
        <sz val="12"/>
        <color theme="1"/>
        <rFont val="Microsoft GothicNeo"/>
        <family val="2"/>
        <charset val="129"/>
      </rPr>
      <t>(1 Yr Projected VL)</t>
    </r>
  </si>
  <si>
    <t>https://tradingeconomics.com/united-states/gdp-growth</t>
  </si>
  <si>
    <t xml:space="preserve">http://www.worldbank.org/en/publication/global-economic-prospects </t>
  </si>
  <si>
    <t>CFRA                                    S&amp;P Net Advantage</t>
  </si>
  <si>
    <t>Zacks Investment Research</t>
  </si>
  <si>
    <t>*** Market value of operating leases for all companies including the airlines and railroads</t>
  </si>
  <si>
    <t>Companies excluded from the study &gt;</t>
  </si>
  <si>
    <t>Companies added to the study &gt;</t>
  </si>
  <si>
    <t>American States Water Company</t>
  </si>
  <si>
    <t>AWR</t>
  </si>
  <si>
    <t>American Water Works Company Inc</t>
  </si>
  <si>
    <t>AWK</t>
  </si>
  <si>
    <t xml:space="preserve">California Water Service Group </t>
  </si>
  <si>
    <t>CWT</t>
  </si>
  <si>
    <t>Essential Utilities, Inc.</t>
  </si>
  <si>
    <t>WTRG</t>
  </si>
  <si>
    <t>Middlesex Water Company</t>
  </si>
  <si>
    <t>MSEX</t>
  </si>
  <si>
    <t>SJW Corporation</t>
  </si>
  <si>
    <t>SJW</t>
  </si>
  <si>
    <t>Water Utility</t>
  </si>
  <si>
    <r>
      <t>K</t>
    </r>
    <r>
      <rPr>
        <b/>
        <sz val="10"/>
        <color theme="1"/>
        <rFont val="Microsoft GothicNeo"/>
        <family val="2"/>
        <charset val="129"/>
      </rPr>
      <t>E</t>
    </r>
    <r>
      <rPr>
        <b/>
        <sz val="16"/>
        <color theme="1"/>
        <rFont val="Microsoft GothicNeo"/>
        <family val="2"/>
        <charset val="129"/>
      </rPr>
      <t xml:space="preserve"> = (DY  X  (1+ .5(G)))  + .67(G1)  +  .33(g)</t>
    </r>
  </si>
  <si>
    <t>G   = Average growth rate</t>
  </si>
  <si>
    <t>G1 = Short term growth estimate</t>
  </si>
  <si>
    <t>DY = Dividend Yield     See ValueLine</t>
  </si>
  <si>
    <t>g   = Stable Growth - Nominal growth rate</t>
  </si>
  <si>
    <t>AA+</t>
  </si>
  <si>
    <t>AAA</t>
  </si>
  <si>
    <t>AA</t>
  </si>
  <si>
    <t>Obligations rated Aa are judged to be of high quality, with minimal risk.</t>
  </si>
  <si>
    <t>AA-</t>
  </si>
  <si>
    <t>BBB+</t>
  </si>
  <si>
    <t>BBB</t>
  </si>
  <si>
    <t>BBB-</t>
  </si>
  <si>
    <t>BB+</t>
  </si>
  <si>
    <t>BB</t>
  </si>
  <si>
    <t>BB-</t>
  </si>
  <si>
    <t>B-</t>
  </si>
  <si>
    <t>CCC+</t>
  </si>
  <si>
    <t>CCC</t>
  </si>
  <si>
    <t>CCC-</t>
  </si>
  <si>
    <t>CC</t>
  </si>
  <si>
    <t>Scale</t>
  </si>
  <si>
    <t>Retained to</t>
  </si>
  <si>
    <t>Shareholders Equity</t>
  </si>
  <si>
    <t>Retained to Common Equity -- Net profit less all common and preferred dividends divided by common equity including intangible assets, expressed as a percentage.  Also known as the plowback ratio.</t>
  </si>
  <si>
    <t>Return on Shareholders Equity -- Annual net profit divided by year-end shareholders equity, expressed as a percentage.</t>
  </si>
  <si>
    <t>Ca1</t>
  </si>
  <si>
    <t>Ca2</t>
  </si>
  <si>
    <t>Ca3</t>
  </si>
  <si>
    <t>CC+</t>
  </si>
  <si>
    <t>CC-</t>
  </si>
  <si>
    <t>AAA-</t>
  </si>
  <si>
    <t>AAA+</t>
  </si>
  <si>
    <t>Aaa1</t>
  </si>
  <si>
    <t>Aaa2</t>
  </si>
  <si>
    <t>Aaa3</t>
  </si>
  <si>
    <t>York Water Company was removed from the guidline companies because Valueline did not create a summary sheet for the company.</t>
  </si>
  <si>
    <t>Share</t>
  </si>
  <si>
    <t>Gross Revenues</t>
  </si>
  <si>
    <t>NOPAT Earnings</t>
  </si>
  <si>
    <t>The purpose of this ratio is to test whether the market price is worth more (or less) than the cost of the assets.</t>
  </si>
  <si>
    <t>If the result is greater than one(1), it indicates the market value exceeds book value and can often be used as a sign of competent management.</t>
  </si>
  <si>
    <t>The higher the return on revenue the higher the price to revenue will be.</t>
  </si>
  <si>
    <t>Cash flow is typically defined to be net income plus depreciation and amortization.</t>
  </si>
  <si>
    <t xml:space="preserve">This measure is considered relevant for companies with high non-cash charges reflected in the income statement.  Non-cash charges include depreciation &amp; amortization, goodwill impairments, asset write downs, </t>
  </si>
  <si>
    <t>stock based compensation, and deferred income taxes and investment tax credits.</t>
  </si>
  <si>
    <t>P/E Ratio - Long Term Projection NOPAT</t>
  </si>
  <si>
    <t>CS+LTD +PS + OL</t>
  </si>
  <si>
    <t>&amp; Op Leases</t>
  </si>
  <si>
    <t xml:space="preserve">For rate based companies, the maximum allowed  'rate of return' established by state regulators is not comparable (a mismatch) to the 'cost of equity' calculated above.   </t>
  </si>
  <si>
    <t>Earnings Growth = DY + EG</t>
  </si>
  <si>
    <t>Dividend Growth = DY + DG</t>
  </si>
  <si>
    <t>EG = Earnings Growth</t>
  </si>
  <si>
    <t>DG = Dividend Growth</t>
  </si>
  <si>
    <t>DY = Dividend Yield</t>
  </si>
  <si>
    <t>G = Projected Growth (Earnings Per Share 5 Yr Growth Rate)</t>
  </si>
  <si>
    <t>G = Projected Growth (Div. 5 Yr Growth Rate)</t>
  </si>
  <si>
    <t>GROSS REVENUE &amp; GROSS BOOK (EQUITY) MULTIPLES</t>
  </si>
  <si>
    <t>Per Share **</t>
  </si>
  <si>
    <t>Multiple *</t>
  </si>
  <si>
    <t>** The book value, or common equity, per share is total owners' equity minus preferred stock divided by the number of common shares outstanding.</t>
  </si>
  <si>
    <t>*This multiple is applicable to service type companies, or those with few assets.  These companies sell at prices related to their revenues.</t>
  </si>
  <si>
    <t>Gross Book Equity  Value</t>
  </si>
  <si>
    <t>Common Total Equity excludes 'noncontrolling interests' equity value.</t>
  </si>
  <si>
    <t xml:space="preserve">http://www.federalreserve.gov/Releases/H15/Current/ </t>
  </si>
  <si>
    <t>Inflation is the % change in the value of the Wholesale Price Index (WPI) on a year-to-year basis.</t>
  </si>
  <si>
    <t>Federal Reserve Statistical release - Inflation Protected Treasury Indexed Securities - 10 Year  (1)</t>
  </si>
  <si>
    <t xml:space="preserve">Federal Reserve Statistical release - Inflation Protected Treasury Indexed Securities - 20 Year  (1) </t>
  </si>
  <si>
    <t xml:space="preserve">Federal Reserve Statistical release - Inflation Protected Treasury Indexed Securities - 30 Year (1) </t>
  </si>
  <si>
    <t>To calculate the inflation rate, compare the inflation-indexed securities to the non-inflation indexed securities. The difference between the securities (using the 10-year, 20-year, and 30- year constant securities) provides the inflation rate.</t>
  </si>
  <si>
    <t>Mergent Rating</t>
  </si>
  <si>
    <t>Projected 1 Yr</t>
  </si>
  <si>
    <t>Earnings Per Share Growth Rate</t>
  </si>
  <si>
    <t xml:space="preserve">Risk Free Rate (Rf) </t>
  </si>
  <si>
    <t>Yield Equity Rate - DGM (Dividend Growth) &amp; DGM (Earnings Growth)  -- Gordon Growth</t>
  </si>
  <si>
    <t>Three Stage Ex Ante  Version 1  (1) (2)</t>
  </si>
  <si>
    <t>Three Stage Ex Ante  Version 2   (1) (2)</t>
  </si>
  <si>
    <t>Harmonic Mean</t>
  </si>
  <si>
    <t>Mean</t>
  </si>
  <si>
    <t>Harmonic Average</t>
  </si>
  <si>
    <t>Federal Reserve Bank of Philadelphia  /Survey of Professional Forecasters  Mean (3)</t>
  </si>
  <si>
    <t>Water Utility Companies (Private)</t>
  </si>
  <si>
    <t xml:space="preserve">S&amp;P Rating </t>
  </si>
  <si>
    <t>S&amp;P Global Market Intelligence (9)</t>
  </si>
  <si>
    <t xml:space="preserve">(1) &amp; (2) Three Stage Dividend Growth Model, S&amp;P 500.  The Three Stage Ex Ante calculations were performed by Minnesota and Montana.  The Equity risk premiums are shown above.  </t>
  </si>
  <si>
    <t>http://pages.stern.nyu.edu/~adamodar/New_Home_Page/datacurrent.html</t>
  </si>
  <si>
    <t>https://www.richmondfed.org/research/national_economy/cfo_survey</t>
  </si>
  <si>
    <t>https://www.bvresources.com/products/faqs/cost-of-capital-professional</t>
  </si>
  <si>
    <t>https://simplywall.st/stocks/us/transportation</t>
  </si>
  <si>
    <t>KROLL Ex Post  - ERP Historical (8)</t>
  </si>
  <si>
    <t>KROLL Ex Ante - ERP Conditional (8)</t>
  </si>
  <si>
    <t>KROLL Ex Post - ERP Supply Side (8)</t>
  </si>
  <si>
    <t>Damodaran Implied ERP Ex Ante   Trailing 12 mo Cash Yield (3)</t>
  </si>
  <si>
    <t>Damodaran Implied ERP Ex Ante   Norm. Earnings &amp; Payout (3)</t>
  </si>
  <si>
    <t>CAPM - Ex Ante  Damodaran NEP</t>
  </si>
  <si>
    <t>CAPM - Ex Ante  Damodaran 12 Mo Cash Yield</t>
  </si>
  <si>
    <t>Empirical CAPM - Ex Ante  Damodaran 12 Mo Cash Yield</t>
  </si>
  <si>
    <t>Empirical CAPM - Ex Ante  Damodaran NEP</t>
  </si>
  <si>
    <t>Damodaran Implied ERP Ex Ante   Net Cash Yield (3)</t>
  </si>
  <si>
    <t>CAPM - Ex Ante  Damodaran Net Cash Yield</t>
  </si>
  <si>
    <t>Empirical CAPM - Ex Ante  Damodaran Net Cash Yield</t>
  </si>
  <si>
    <t>CAPM - Ex Post KROLL ERP Historical</t>
  </si>
  <si>
    <t>CAPM - Ex Post  KROLL ERP Supply Side</t>
  </si>
  <si>
    <t>CAPM - Ex Ante  KROLL ERP Conditional</t>
  </si>
  <si>
    <t>Empirical CAPM - Ex Post KROLL ERP Historical</t>
  </si>
  <si>
    <t>Empirical CAPM - Ex Post  KROLL ERP Supply Side</t>
  </si>
  <si>
    <t>Empirical CAPM - Ex Ante  KROLL ERP Conditional</t>
  </si>
  <si>
    <t>P. Fernandez, T. Garcia de Santos &amp; J.F.Acin  (5)</t>
  </si>
  <si>
    <t>Damodaran Implied ERP Ex Ante   Avg CF Yield Last 10 Yrs (3)</t>
  </si>
  <si>
    <t>CAPM - Ex Ante  Damodaran Avg CF Yield Last 10 Yrs</t>
  </si>
  <si>
    <t>Empirical CAPM - Ex Ante  Damodaran Avg CF Yield Last 10 Yrs</t>
  </si>
  <si>
    <t>The Trading Economics projects the U.S. GDP annual growth rate for 2025</t>
  </si>
  <si>
    <t xml:space="preserve">Trading Economics, United States Full Year GDP Growth Rate Forecast  </t>
  </si>
  <si>
    <t xml:space="preserve">Congressional Budget Office Real Economic Projections (4)  </t>
  </si>
  <si>
    <t>https://www.cbo.gov/system/files/2021-02/56970-Outlook.p</t>
  </si>
  <si>
    <t>A market to book ratio over one would be an indication of no obsolescence</t>
  </si>
  <si>
    <t>CAPM - Ex Ante  Three Stage - V1</t>
  </si>
  <si>
    <t>CAPM - Ex Ante  Three Stage - V2</t>
  </si>
  <si>
    <t>Empirical CAPM - Ex Ante  Three Stage - V1</t>
  </si>
  <si>
    <t>Empirical CAPM - Ex Ante  Three Stage - V2</t>
  </si>
  <si>
    <t>2024 CAPITALIZATION RATE STUDY</t>
  </si>
  <si>
    <t>2024 Tax Year</t>
  </si>
  <si>
    <t>YEAR END 12/31/2023</t>
  </si>
  <si>
    <t>Dec. 31, 2023</t>
  </si>
  <si>
    <t>Estimated 20-22 to 26-28</t>
  </si>
  <si>
    <t>B++</t>
  </si>
  <si>
    <t>Vl Projected 2024</t>
  </si>
  <si>
    <t>The market yield on 20 year US Treasury  Jan 2, 2024</t>
  </si>
  <si>
    <t>Board of Governors of the Federal Reserve System, H.15, Selected Interest Rates, Market Yield on U.S. Treasury Securities 20-year constant maturity quoted on investment bases, daily observations as of Jan 2, 2024.</t>
  </si>
  <si>
    <t>Board of Governors of the Federal Reserve System, Economic projections of Federal Reserve Board members and Federal Reserve Bank presidents under their individual assessments of projected appropriate monetary policy. December 2023</t>
  </si>
  <si>
    <t>https://www.federalreserve.gov/monetarypolicy/files/fomcprojtabl20231213.pdf</t>
  </si>
  <si>
    <r>
      <t xml:space="preserve">1.60% </t>
    </r>
    <r>
      <rPr>
        <b/>
        <sz val="14"/>
        <color theme="1"/>
        <rFont val="Microsoft GothicNeo"/>
        <family val="2"/>
        <charset val="129"/>
      </rPr>
      <t>in 2024</t>
    </r>
    <r>
      <rPr>
        <b/>
        <sz val="18"/>
        <color theme="1"/>
        <rFont val="Microsoft GothicNeo"/>
        <family val="2"/>
        <charset val="129"/>
      </rPr>
      <t xml:space="preserve">   &amp;  1.70%</t>
    </r>
    <r>
      <rPr>
        <b/>
        <sz val="14"/>
        <color theme="1"/>
        <rFont val="Microsoft GothicNeo"/>
        <family val="2"/>
        <charset val="129"/>
      </rPr>
      <t xml:space="preserve"> in 2025 </t>
    </r>
  </si>
  <si>
    <t>World Bank Group Flagship Report, Global Economic Prospects. January 2024-25. Page 4.</t>
  </si>
  <si>
    <t>5 Yr  Jan 2 2024</t>
  </si>
  <si>
    <t>3.93 - 1.76 = 2.17</t>
  </si>
  <si>
    <t>10 Yr  Jan 2 2024</t>
  </si>
  <si>
    <t>3.95 - 1.74 = 2.21</t>
  </si>
  <si>
    <t>20 Yr  Jan 2 2024</t>
  </si>
  <si>
    <t>4.25 - 1.84 = 2.41</t>
  </si>
  <si>
    <t>30 Yr  Jan 2 2024</t>
  </si>
  <si>
    <t>4.08 - 1.91 = 2.17</t>
  </si>
  <si>
    <t xml:space="preserve">Federal Reserve Bank of Philadelphia - The Livingston Survey - Inflation Mean (measured by the CPI over next 10 years) Dec. 2023  Table 3   Page 8  (2) </t>
  </si>
  <si>
    <t xml:space="preserve">Federal Reserve Bank of Philadelphia - The Livingston Survey - Inflation Median (measured by the CPI over next 10 years) Dec. 2023  Table 3  Page 8  (2)  </t>
  </si>
  <si>
    <t>Congressional Budget Office  Average % change Yr to Yr  2024-2034  Table2-1  (4)</t>
  </si>
  <si>
    <t xml:space="preserve">(1)  Federal Reserve Statistical Release  January 2, 2024 </t>
  </si>
  <si>
    <t xml:space="preserve">(2)  Federal Reserve Bank of Philadelphia The Livingston Survey December 15, 2023 Table 3, page 8   Inflation Rate and Real GDP mean for next 10 years </t>
  </si>
  <si>
    <t>(2)  Federal Reserve Bank of Philadelphia The Livingston Survey December 17, 2023 Table 3, page 8   Median annual CPI Rate and Real GDP Growth Rate for next 10 years</t>
  </si>
  <si>
    <t>(3)  Federal Reserve Bank of Philadelphia Survey of Professional Forecasters February 9, 2024 Table 8 and Table 9 Average over next 10-Year mean   See below.</t>
  </si>
  <si>
    <t>spfq124.pdf (philadelphiafed.org)</t>
  </si>
  <si>
    <t>(4)  Budget Office, The Budget and Economic Outlook: 2024 to 2034, Table 2-1  and 2023 to 2033, Table C-1  See bellow.</t>
  </si>
  <si>
    <t>Retrieved February 8, 2024 from</t>
  </si>
  <si>
    <t>https://www.cbo.gov/publication/59933</t>
  </si>
  <si>
    <t xml:space="preserve">(5) Board of Governors of the Federal Reserve System, Economic projections of Federal Reserve Board members and Federal Reserve Bank presidents under their individual assessments of projected appropriate monetary policy. December 2023 </t>
  </si>
  <si>
    <t xml:space="preserve">(6) &amp; (7) Business Valuation Resources, Cost of Capital Professional. (2024). Historical ERP 1928 to present, using arithmetic mean, geometric mean, and 20-Year Treasury Securities. </t>
  </si>
  <si>
    <t xml:space="preserve">(8) KROLL, Cost of Capital Navigator. (2024). </t>
  </si>
  <si>
    <t xml:space="preserve">(9) S&amp;P Global Market Intelligence ( Jan. 2024). </t>
  </si>
  <si>
    <t>(3) Implied Equity Risk Premium on January 5, 2024 as determined by Dr. Aswath Damodaran</t>
  </si>
  <si>
    <t>(5) Fernandez, P., Garcia D., &amp; Acin, J. F. (2023). Survey: Market Risk Premium and Risk‐Free Rate used for 80 countries in 2023. SSRN Electronic Journal.</t>
  </si>
  <si>
    <t xml:space="preserve">(4) The CFO Survey (2023). Data &amp; Results December 20, 2023. Mean average annual S&amp;P return over next ten years (8.9%) less annual yield on 10‐year Treasury Bonds (3.96%). </t>
  </si>
  <si>
    <t>https://papers.ssrn.com/sol3/papers.cfm?abstract_id=4407839</t>
  </si>
  <si>
    <t>The Congressional Budget Office projects the U.S. GDP annual growth rates</t>
  </si>
  <si>
    <r>
      <t xml:space="preserve">1.5% in </t>
    </r>
    <r>
      <rPr>
        <b/>
        <sz val="14"/>
        <rFont val="Microsoft GothicNeo"/>
        <family val="2"/>
        <charset val="129"/>
      </rPr>
      <t>2024</t>
    </r>
    <r>
      <rPr>
        <b/>
        <sz val="18"/>
        <rFont val="Microsoft GothicNeo"/>
        <family val="2"/>
        <charset val="129"/>
      </rPr>
      <t xml:space="preserve">  &amp;  2.2% in </t>
    </r>
    <r>
      <rPr>
        <b/>
        <sz val="14"/>
        <rFont val="Microsoft GothicNeo"/>
        <family val="2"/>
        <charset val="129"/>
      </rPr>
      <t>2025&amp;2026</t>
    </r>
  </si>
  <si>
    <r>
      <t xml:space="preserve">2.1% </t>
    </r>
    <r>
      <rPr>
        <b/>
        <sz val="14"/>
        <rFont val="Microsoft GothicNeo"/>
        <family val="2"/>
        <charset val="129"/>
      </rPr>
      <t>2027 to 2028</t>
    </r>
    <r>
      <rPr>
        <b/>
        <sz val="18"/>
        <rFont val="Microsoft GothicNeo"/>
        <family val="2"/>
        <charset val="129"/>
      </rPr>
      <t xml:space="preserve">  &amp;  1.9% </t>
    </r>
    <r>
      <rPr>
        <b/>
        <sz val="14"/>
        <rFont val="Microsoft GothicNeo"/>
        <family val="2"/>
        <charset val="129"/>
      </rPr>
      <t>2029 to 2034</t>
    </r>
  </si>
  <si>
    <r>
      <t xml:space="preserve">NOPAT CASH FLOW MULTIPLE &amp; EQUITY RATE </t>
    </r>
    <r>
      <rPr>
        <b/>
        <sz val="12"/>
        <color theme="1"/>
        <rFont val="Microsoft GothicNeo"/>
        <family val="2"/>
        <charset val="129"/>
      </rPr>
      <t>(LT 27-29 Yr Projected VL)</t>
    </r>
  </si>
  <si>
    <t>Daily Tresury Par Real Yield Curve Rates  Jan 2 (1)</t>
  </si>
  <si>
    <t>Corporate                          December Avg</t>
  </si>
  <si>
    <t>Utility                                                December Avg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</si>
</sst>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_(* #,##0.0000_);_(* \(#,##0.0000\);_(* &quot;-&quot;??_);_(@_)"/>
    <numFmt numFmtId="167" formatCode="0.000"/>
    <numFmt numFmtId="168" formatCode="_(* #,##0.000_);_(* \(#,##0.000\);_(* &quot;-&quot;??_);_(@_)"/>
    <numFmt numFmtId="169" formatCode="0.000%"/>
    <numFmt numFmtId="170" formatCode="0.0000%"/>
  </numFmts>
  <fonts count="77">
    <font>
      <sz val="11"/>
      <color theme="1"/>
      <name val="Calibri"/>
      <family val="2"/>
      <scheme val="minor"/>
    </font>
    <font>
      <sz val="11"/>
      <color theme="1"/>
      <name val="Calibri"/>
      <family val="2"/>
      <scheme val="minor"/>
    </font>
    <font>
      <b/>
      <sz val="12"/>
      <color theme="1"/>
      <name val="Calibri"/>
      <family val="2"/>
      <scheme val="minor"/>
    </font>
    <font>
      <b/>
      <sz val="11"/>
      <color theme="1"/>
      <name val="Helvetica Narrow Bold"/>
      <family val="2"/>
    </font>
    <font>
      <sz val="12"/>
      <color theme="1"/>
      <name val="Calibri"/>
      <family val="2"/>
      <scheme val="minor"/>
    </font>
    <font>
      <b/>
      <sz val="14"/>
      <color theme="1"/>
      <name val="Calibri"/>
      <family val="2"/>
      <scheme val="minor"/>
    </font>
    <font>
      <sz val="14"/>
      <color theme="1"/>
      <name val="Calibri"/>
      <family val="2"/>
      <scheme val="minor"/>
    </font>
    <font>
      <b/>
      <sz val="22"/>
      <color theme="1"/>
      <name val="Georgia"/>
      <family val="1"/>
    </font>
    <font>
      <sz val="11"/>
      <color theme="1"/>
      <name val="Georgia"/>
      <family val="1"/>
    </font>
    <font>
      <b/>
      <i/>
      <sz val="22"/>
      <color theme="1"/>
      <name val="Georgia"/>
      <family val="1"/>
    </font>
    <font>
      <i/>
      <sz val="11"/>
      <color theme="1"/>
      <name val="Georgia"/>
      <family val="1"/>
    </font>
    <font>
      <b/>
      <sz val="11"/>
      <color theme="1"/>
      <name val="Palatino Roman"/>
      <family val="1"/>
    </font>
    <font>
      <sz val="11"/>
      <color theme="1"/>
      <name val="Palatino Roman"/>
      <family val="1"/>
    </font>
    <font>
      <b/>
      <sz val="26"/>
      <color theme="1"/>
      <name val="Calibri"/>
      <family val="2"/>
      <scheme val="minor"/>
    </font>
    <font>
      <sz val="26"/>
      <color theme="1"/>
      <name val="Calibri"/>
      <family val="2"/>
      <scheme val="minor"/>
    </font>
    <font>
      <b/>
      <sz val="11"/>
      <name val="Calibri"/>
      <family val="2"/>
      <scheme val="minor"/>
    </font>
    <font>
      <sz val="9"/>
      <color indexed="81"/>
      <name val="Tahoma"/>
      <family val="2"/>
    </font>
    <font>
      <sz val="12"/>
      <name val="TIMES"/>
    </font>
    <font>
      <u/>
      <sz val="11"/>
      <color theme="10"/>
      <name val="Calibri"/>
      <family val="2"/>
      <scheme val="minor"/>
    </font>
    <font>
      <sz val="11"/>
      <color theme="1"/>
      <name val="Microsoft GothicNeo"/>
      <family val="2"/>
      <charset val="129"/>
    </font>
    <font>
      <sz val="11"/>
      <name val="Microsoft GothicNeo"/>
      <family val="2"/>
      <charset val="129"/>
    </font>
    <font>
      <b/>
      <sz val="11"/>
      <color theme="1"/>
      <name val="Microsoft GothicNeo"/>
      <family val="2"/>
      <charset val="129"/>
    </font>
    <font>
      <b/>
      <sz val="11"/>
      <name val="Microsoft GothicNeo"/>
      <family val="2"/>
      <charset val="129"/>
    </font>
    <font>
      <b/>
      <sz val="18"/>
      <color theme="1"/>
      <name val="Microsoft GothicNeo"/>
      <family val="2"/>
      <charset val="129"/>
    </font>
    <font>
      <b/>
      <sz val="16"/>
      <color theme="1"/>
      <name val="Microsoft GothicNeo"/>
      <family val="2"/>
      <charset val="129"/>
    </font>
    <font>
      <b/>
      <sz val="12"/>
      <color indexed="8"/>
      <name val="Microsoft GothicNeo"/>
      <family val="2"/>
      <charset val="129"/>
    </font>
    <font>
      <b/>
      <sz val="11"/>
      <color indexed="8"/>
      <name val="Microsoft GothicNeo"/>
      <family val="2"/>
      <charset val="129"/>
    </font>
    <font>
      <b/>
      <sz val="11"/>
      <color rgb="FFFF0000"/>
      <name val="Microsoft GothicNeo"/>
      <family val="2"/>
      <charset val="129"/>
    </font>
    <font>
      <b/>
      <sz val="14"/>
      <color theme="1"/>
      <name val="Microsoft GothicNeo"/>
      <family val="2"/>
      <charset val="129"/>
    </font>
    <font>
      <b/>
      <sz val="10"/>
      <color theme="1"/>
      <name val="Microsoft GothicNeo"/>
      <family val="2"/>
      <charset val="129"/>
    </font>
    <font>
      <sz val="9"/>
      <color theme="1"/>
      <name val="Microsoft GothicNeo"/>
      <family val="2"/>
      <charset val="129"/>
    </font>
    <font>
      <sz val="10"/>
      <color theme="1"/>
      <name val="Microsoft GothicNeo"/>
      <family val="2"/>
      <charset val="129"/>
    </font>
    <font>
      <i/>
      <sz val="9"/>
      <color theme="1"/>
      <name val="Microsoft GothicNeo"/>
      <family val="2"/>
      <charset val="129"/>
    </font>
    <font>
      <b/>
      <sz val="9"/>
      <color theme="1"/>
      <name val="Microsoft GothicNeo"/>
      <family val="2"/>
      <charset val="129"/>
    </font>
    <font>
      <b/>
      <sz val="12"/>
      <color theme="1"/>
      <name val="Microsoft GothicNeo"/>
      <family val="2"/>
      <charset val="129"/>
    </font>
    <font>
      <b/>
      <i/>
      <sz val="10"/>
      <color theme="1"/>
      <name val="Microsoft GothicNeo"/>
      <family val="2"/>
      <charset val="129"/>
    </font>
    <font>
      <sz val="16"/>
      <color theme="1"/>
      <name val="Microsoft GothicNeo"/>
      <family val="2"/>
      <charset val="129"/>
    </font>
    <font>
      <sz val="12"/>
      <color theme="1"/>
      <name val="Microsoft GothicNeo"/>
      <family val="2"/>
      <charset val="129"/>
    </font>
    <font>
      <b/>
      <sz val="12"/>
      <name val="Microsoft GothicNeo"/>
      <family val="2"/>
      <charset val="129"/>
    </font>
    <font>
      <b/>
      <i/>
      <u/>
      <sz val="11"/>
      <color theme="1"/>
      <name val="Microsoft GothicNeo"/>
      <family val="2"/>
      <charset val="129"/>
    </font>
    <font>
      <b/>
      <i/>
      <sz val="11"/>
      <color theme="1"/>
      <name val="Microsoft GothicNeo"/>
      <family val="2"/>
      <charset val="129"/>
    </font>
    <font>
      <i/>
      <sz val="10"/>
      <color theme="1"/>
      <name val="Microsoft GothicNeo"/>
      <family val="2"/>
      <charset val="129"/>
    </font>
    <font>
      <b/>
      <sz val="11"/>
      <color theme="9" tint="-0.249977111117893"/>
      <name val="Microsoft GothicNeo"/>
      <family val="2"/>
      <charset val="129"/>
    </font>
    <font>
      <b/>
      <sz val="16"/>
      <name val="Microsoft GothicNeo"/>
      <family val="2"/>
      <charset val="129"/>
    </font>
    <font>
      <b/>
      <sz val="16"/>
      <color rgb="FFFF0000"/>
      <name val="Microsoft GothicNeo"/>
      <family val="2"/>
      <charset val="129"/>
    </font>
    <font>
      <sz val="12"/>
      <color rgb="FFFF0000"/>
      <name val="Microsoft GothicNeo"/>
      <family val="2"/>
      <charset val="129"/>
    </font>
    <font>
      <b/>
      <sz val="12"/>
      <color rgb="FF0000CC"/>
      <name val="Microsoft GothicNeo"/>
      <family val="2"/>
      <charset val="129"/>
    </font>
    <font>
      <b/>
      <sz val="14"/>
      <name val="Microsoft GothicNeo"/>
      <family val="2"/>
      <charset val="129"/>
    </font>
    <font>
      <u/>
      <sz val="11"/>
      <color theme="10"/>
      <name val="Microsoft GothicNeo"/>
      <family val="2"/>
      <charset val="129"/>
    </font>
    <font>
      <sz val="10"/>
      <name val="Microsoft GothicNeo"/>
      <family val="2"/>
      <charset val="129"/>
    </font>
    <font>
      <b/>
      <sz val="12"/>
      <color rgb="FFFF0000"/>
      <name val="Microsoft GothicNeo"/>
      <family val="2"/>
      <charset val="129"/>
    </font>
    <font>
      <b/>
      <sz val="14"/>
      <color rgb="FFFF0000"/>
      <name val="Microsoft GothicNeo"/>
      <family val="2"/>
      <charset val="129"/>
    </font>
    <font>
      <b/>
      <sz val="11"/>
      <color theme="1"/>
      <name val="Calibri"/>
      <family val="2"/>
      <scheme val="minor"/>
    </font>
    <font>
      <sz val="14"/>
      <color theme="1"/>
      <name val="Microsoft GothicNeo"/>
      <family val="2"/>
      <charset val="129"/>
    </font>
    <font>
      <sz val="11"/>
      <color rgb="FFFF0000"/>
      <name val="Microsoft GothicNeo"/>
      <family val="2"/>
      <charset val="129"/>
    </font>
    <font>
      <sz val="18"/>
      <color theme="1"/>
      <name val="Microsoft GothicNeo"/>
      <family val="2"/>
      <charset val="129"/>
    </font>
    <font>
      <sz val="20"/>
      <color theme="1"/>
      <name val="Microsoft GothicNeo"/>
      <family val="2"/>
      <charset val="129"/>
    </font>
    <font>
      <b/>
      <sz val="20"/>
      <color theme="1"/>
      <name val="Microsoft GothicNeo"/>
      <family val="2"/>
      <charset val="129"/>
    </font>
    <font>
      <b/>
      <sz val="11"/>
      <color indexed="81"/>
      <name val="Tahoma"/>
      <family val="2"/>
    </font>
    <font>
      <sz val="11"/>
      <color indexed="81"/>
      <name val="Tahoma"/>
      <family val="2"/>
    </font>
    <font>
      <b/>
      <i/>
      <sz val="18"/>
      <name val="Microsoft GothicNeo"/>
      <family val="2"/>
      <charset val="129"/>
    </font>
    <font>
      <b/>
      <i/>
      <sz val="18"/>
      <color rgb="FF0000CC"/>
      <name val="Microsoft GothicNeo"/>
      <family val="2"/>
      <charset val="129"/>
    </font>
    <font>
      <sz val="12"/>
      <color rgb="FF000000"/>
      <name val="Microsoft GothicNeo"/>
      <family val="2"/>
      <charset val="129"/>
    </font>
    <font>
      <b/>
      <sz val="12"/>
      <name val="Calibri"/>
      <family val="2"/>
      <scheme val="minor"/>
    </font>
    <font>
      <b/>
      <sz val="9"/>
      <color indexed="81"/>
      <name val="Tahoma"/>
      <family val="2"/>
    </font>
    <font>
      <sz val="11"/>
      <name val="Calibri"/>
      <family val="2"/>
      <scheme val="minor"/>
    </font>
    <font>
      <b/>
      <i/>
      <sz val="14"/>
      <color theme="1"/>
      <name val="Calibri"/>
      <family val="2"/>
      <scheme val="minor"/>
    </font>
    <font>
      <b/>
      <sz val="18"/>
      <name val="Microsoft GothicNeo"/>
      <family val="2"/>
      <charset val="129"/>
    </font>
    <font>
      <b/>
      <sz val="9"/>
      <name val="Microsoft GothicNeo"/>
      <family val="2"/>
      <charset val="129"/>
    </font>
    <font>
      <sz val="10"/>
      <color indexed="81"/>
      <name val="Tahoma"/>
      <family val="2"/>
    </font>
    <font>
      <b/>
      <sz val="12"/>
      <color rgb="FF000000"/>
      <name val="Microsoft GothicNeo"/>
      <family val="2"/>
      <charset val="129"/>
    </font>
    <font>
      <i/>
      <sz val="11"/>
      <color theme="1"/>
      <name val="Microsoft GothicNeo"/>
      <family val="2"/>
      <charset val="129"/>
    </font>
    <font>
      <b/>
      <i/>
      <sz val="12"/>
      <name val="Microsoft GothicNeo"/>
      <family val="2"/>
      <charset val="129"/>
    </font>
    <font>
      <b/>
      <sz val="14"/>
      <color theme="9" tint="-0.499984740745262"/>
      <name val="Microsoft GothicNeo"/>
      <family val="2"/>
      <charset val="129"/>
    </font>
    <font>
      <b/>
      <sz val="11"/>
      <color theme="9" tint="-0.499984740745262"/>
      <name val="Microsoft GothicNeo"/>
      <family val="2"/>
      <charset val="129"/>
    </font>
    <font>
      <sz val="11"/>
      <color rgb="FF0000CC"/>
      <name val="Microsoft GothicNeo"/>
      <family val="2"/>
      <charset val="129"/>
    </font>
    <font>
      <sz val="11"/>
      <color rgb="FF0000CC"/>
      <name val="Microsoft GothicNeo Light"/>
      <family val="2"/>
      <charset val="129"/>
    </font>
  </fonts>
  <fills count="6">
    <fill>
      <patternFill patternType="none"/>
    </fill>
    <fill>
      <patternFill patternType="gray125"/>
    </fill>
    <fill>
      <patternFill patternType="solid">
        <fgColor theme="8"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rgb="FFFFFF00"/>
        <bgColor indexed="64"/>
      </patternFill>
    </fill>
  </fills>
  <borders count="45">
    <border>
      <left/>
      <right/>
      <top/>
      <bottom/>
      <diagonal/>
    </border>
    <border>
      <left/>
      <right/>
      <top/>
      <bottom style="thin">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double">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7" fillId="0" borderId="0"/>
    <xf numFmtId="0" fontId="17" fillId="0" borderId="0"/>
    <xf numFmtId="0" fontId="18" fillId="0" borderId="0" applyNumberFormat="0" applyFill="0" applyBorder="0" applyAlignment="0" applyProtection="0"/>
  </cellStyleXfs>
  <cellXfs count="478">
    <xf numFmtId="0" fontId="0" fillId="0" borderId="0" xfId="0"/>
    <xf numFmtId="0" fontId="2" fillId="0" borderId="0" xfId="0" applyFont="1"/>
    <xf numFmtId="0" fontId="3" fillId="0" borderId="0" xfId="0" applyFont="1"/>
    <xf numFmtId="164" fontId="3" fillId="0" borderId="0" xfId="1" applyNumberFormat="1" applyFont="1"/>
    <xf numFmtId="0" fontId="4" fillId="0" borderId="0" xfId="0" applyFont="1"/>
    <xf numFmtId="0" fontId="2" fillId="0" borderId="0" xfId="0" applyFont="1" applyAlignment="1">
      <alignment horizontal="center"/>
    </xf>
    <xf numFmtId="0" fontId="7" fillId="0" borderId="0" xfId="0" applyFont="1" applyAlignment="1">
      <alignment horizontal="center"/>
    </xf>
    <xf numFmtId="0" fontId="8" fillId="0" borderId="0" xfId="0" applyFont="1" applyAlignment="1">
      <alignment horizontal="center"/>
    </xf>
    <xf numFmtId="0" fontId="11" fillId="0" borderId="0" xfId="0" applyFont="1" applyAlignment="1">
      <alignment horizontal="center"/>
    </xf>
    <xf numFmtId="0" fontId="12" fillId="0" borderId="0" xfId="0" applyFont="1" applyAlignment="1">
      <alignment horizontal="center"/>
    </xf>
    <xf numFmtId="3" fontId="2" fillId="0" borderId="0" xfId="0" applyNumberFormat="1" applyFont="1"/>
    <xf numFmtId="167" fontId="15" fillId="2" borderId="0" xfId="0" applyNumberFormat="1" applyFont="1" applyFill="1" applyAlignment="1">
      <alignment horizontal="center"/>
    </xf>
    <xf numFmtId="0" fontId="19" fillId="0" borderId="0" xfId="0" applyFont="1"/>
    <xf numFmtId="0" fontId="19" fillId="0" borderId="0" xfId="0" applyFont="1" applyAlignment="1">
      <alignment horizontal="center"/>
    </xf>
    <xf numFmtId="0" fontId="21" fillId="0" borderId="0" xfId="0" applyFont="1" applyAlignment="1">
      <alignment horizontal="right"/>
    </xf>
    <xf numFmtId="43" fontId="22" fillId="0" borderId="0" xfId="1" applyFont="1" applyAlignment="1">
      <alignment horizontal="right" vertical="center"/>
    </xf>
    <xf numFmtId="43" fontId="22" fillId="0" borderId="0" xfId="1" applyFont="1" applyFill="1" applyAlignment="1">
      <alignment horizontal="right" vertical="center"/>
    </xf>
    <xf numFmtId="43" fontId="21" fillId="0" borderId="0" xfId="1" applyFont="1" applyFill="1" applyAlignment="1">
      <alignment horizontal="right"/>
    </xf>
    <xf numFmtId="43" fontId="21" fillId="0" borderId="0" xfId="1" applyFont="1" applyFill="1" applyAlignment="1">
      <alignment horizontal="center"/>
    </xf>
    <xf numFmtId="43" fontId="21" fillId="0" borderId="0" xfId="1" applyFont="1" applyFill="1" applyAlignment="1">
      <alignment horizontal="center" vertical="center"/>
    </xf>
    <xf numFmtId="43" fontId="21" fillId="0" borderId="0" xfId="1" applyFont="1" applyFill="1" applyBorder="1" applyAlignment="1">
      <alignment horizontal="center" vertical="center"/>
    </xf>
    <xf numFmtId="43" fontId="21" fillId="0" borderId="0" xfId="1" applyFont="1" applyFill="1"/>
    <xf numFmtId="0" fontId="23" fillId="0" borderId="0" xfId="0" applyFont="1"/>
    <xf numFmtId="0" fontId="24" fillId="0" borderId="0" xfId="0" applyFont="1"/>
    <xf numFmtId="0" fontId="25" fillId="0" borderId="0" xfId="0" applyFont="1"/>
    <xf numFmtId="0" fontId="26" fillId="0" borderId="0" xfId="0" applyFont="1"/>
    <xf numFmtId="0" fontId="27" fillId="0" borderId="0" xfId="0" applyFont="1"/>
    <xf numFmtId="0" fontId="28" fillId="0" borderId="16" xfId="0" applyFont="1" applyBorder="1"/>
    <xf numFmtId="0" fontId="19" fillId="0" borderId="2" xfId="0" applyFont="1" applyBorder="1"/>
    <xf numFmtId="0" fontId="27" fillId="0" borderId="2" xfId="0" applyFont="1" applyBorder="1"/>
    <xf numFmtId="0" fontId="28" fillId="0" borderId="0" xfId="0" applyFont="1"/>
    <xf numFmtId="0" fontId="24" fillId="0" borderId="0" xfId="0" applyFont="1" applyAlignment="1">
      <alignment horizontal="center"/>
    </xf>
    <xf numFmtId="0" fontId="29" fillId="0" borderId="2" xfId="0" applyFont="1" applyBorder="1" applyAlignment="1">
      <alignment horizontal="center"/>
    </xf>
    <xf numFmtId="0" fontId="30" fillId="0" borderId="2" xfId="0" applyFont="1" applyBorder="1" applyAlignment="1">
      <alignment horizontal="center"/>
    </xf>
    <xf numFmtId="0" fontId="21" fillId="0" borderId="0" xfId="0" applyFont="1" applyAlignment="1">
      <alignment horizontal="center"/>
    </xf>
    <xf numFmtId="0" fontId="29" fillId="0" borderId="0" xfId="0" applyFont="1" applyAlignment="1">
      <alignment horizontal="center"/>
    </xf>
    <xf numFmtId="0" fontId="21" fillId="0" borderId="2" xfId="0" applyFont="1" applyBorder="1" applyAlignment="1">
      <alignment horizontal="center"/>
    </xf>
    <xf numFmtId="0" fontId="31" fillId="0" borderId="2" xfId="0" applyFont="1" applyBorder="1" applyAlignment="1">
      <alignment horizontal="center"/>
    </xf>
    <xf numFmtId="0" fontId="30" fillId="0" borderId="1" xfId="0" applyFont="1" applyBorder="1" applyAlignment="1">
      <alignment horizontal="center"/>
    </xf>
    <xf numFmtId="0" fontId="32" fillId="0" borderId="1" xfId="0" applyFont="1" applyBorder="1" applyAlignment="1">
      <alignment horizontal="center"/>
    </xf>
    <xf numFmtId="0" fontId="30" fillId="0" borderId="0" xfId="0" applyFont="1" applyAlignment="1">
      <alignment horizontal="center"/>
    </xf>
    <xf numFmtId="0" fontId="33" fillId="0" borderId="2" xfId="0" applyFont="1" applyBorder="1" applyAlignment="1">
      <alignment horizontal="center"/>
    </xf>
    <xf numFmtId="0" fontId="35" fillId="0" borderId="1" xfId="0" applyFont="1" applyBorder="1" applyAlignment="1">
      <alignment horizontal="center"/>
    </xf>
    <xf numFmtId="0" fontId="21" fillId="0" borderId="0" xfId="0" applyFont="1"/>
    <xf numFmtId="166" fontId="22" fillId="0" borderId="0" xfId="1" applyNumberFormat="1" applyFont="1" applyFill="1" applyAlignment="1">
      <alignment horizontal="center"/>
    </xf>
    <xf numFmtId="166" fontId="22" fillId="0" borderId="0" xfId="1" applyNumberFormat="1" applyFont="1" applyFill="1"/>
    <xf numFmtId="0" fontId="21" fillId="0" borderId="4" xfId="0" applyFont="1" applyBorder="1"/>
    <xf numFmtId="0" fontId="22" fillId="0" borderId="0" xfId="0" applyFont="1" applyAlignment="1">
      <alignment horizontal="center" vertical="center"/>
    </xf>
    <xf numFmtId="166" fontId="21" fillId="0" borderId="0" xfId="1" applyNumberFormat="1" applyFont="1" applyFill="1" applyAlignment="1">
      <alignment horizontal="center"/>
    </xf>
    <xf numFmtId="0" fontId="24" fillId="0" borderId="0" xfId="0" applyFont="1" applyAlignment="1">
      <alignment horizontal="right"/>
    </xf>
    <xf numFmtId="10" fontId="21" fillId="0" borderId="0" xfId="2" applyNumberFormat="1" applyFont="1" applyFill="1" applyAlignment="1">
      <alignment horizontal="center" vertical="center"/>
    </xf>
    <xf numFmtId="10" fontId="21" fillId="0" borderId="0" xfId="2" applyNumberFormat="1" applyFont="1" applyFill="1" applyBorder="1" applyAlignment="1">
      <alignment horizontal="center" vertical="center"/>
    </xf>
    <xf numFmtId="10" fontId="22" fillId="0" borderId="0" xfId="2" applyNumberFormat="1" applyFont="1" applyAlignment="1">
      <alignment horizontal="right" vertical="center"/>
    </xf>
    <xf numFmtId="10" fontId="22" fillId="0" borderId="0" xfId="2" applyNumberFormat="1" applyFont="1" applyFill="1" applyAlignment="1">
      <alignment horizontal="right"/>
    </xf>
    <xf numFmtId="10" fontId="21" fillId="0" borderId="0" xfId="2" applyNumberFormat="1" applyFont="1" applyFill="1" applyAlignment="1">
      <alignment horizontal="right"/>
    </xf>
    <xf numFmtId="10" fontId="21" fillId="0" borderId="0" xfId="2" applyNumberFormat="1" applyFont="1" applyFill="1" applyAlignment="1">
      <alignment horizontal="center"/>
    </xf>
    <xf numFmtId="10" fontId="21" fillId="0" borderId="0" xfId="2" applyNumberFormat="1" applyFont="1" applyFill="1"/>
    <xf numFmtId="0" fontId="19" fillId="3" borderId="20" xfId="0" applyFont="1" applyFill="1" applyBorder="1" applyAlignment="1">
      <alignment horizontal="center"/>
    </xf>
    <xf numFmtId="0" fontId="19" fillId="3" borderId="22" xfId="0" applyFont="1" applyFill="1" applyBorder="1" applyAlignment="1">
      <alignment horizontal="center"/>
    </xf>
    <xf numFmtId="2" fontId="38" fillId="0" borderId="0" xfId="0" applyNumberFormat="1" applyFont="1" applyAlignment="1">
      <alignment horizontal="center"/>
    </xf>
    <xf numFmtId="164" fontId="38" fillId="0" borderId="0" xfId="1" applyNumberFormat="1" applyFont="1" applyAlignment="1"/>
    <xf numFmtId="2" fontId="22" fillId="0" borderId="0" xfId="0" applyNumberFormat="1" applyFont="1" applyAlignment="1">
      <alignment horizontal="center"/>
    </xf>
    <xf numFmtId="0" fontId="34" fillId="0" borderId="0" xfId="0" applyFont="1"/>
    <xf numFmtId="43" fontId="24" fillId="0" borderId="0" xfId="1" applyFont="1" applyFill="1"/>
    <xf numFmtId="2" fontId="38" fillId="0" borderId="4" xfId="0" applyNumberFormat="1" applyFont="1" applyBorder="1" applyAlignment="1">
      <alignment horizontal="center"/>
    </xf>
    <xf numFmtId="10" fontId="22" fillId="0" borderId="0" xfId="2" applyNumberFormat="1" applyFont="1" applyFill="1" applyAlignment="1">
      <alignment horizontal="center"/>
    </xf>
    <xf numFmtId="0" fontId="19" fillId="0" borderId="2" xfId="0" applyFont="1" applyBorder="1" applyAlignment="1">
      <alignment horizontal="center"/>
    </xf>
    <xf numFmtId="0" fontId="31" fillId="0" borderId="17" xfId="0" applyFont="1" applyBorder="1" applyAlignment="1">
      <alignment horizontal="center"/>
    </xf>
    <xf numFmtId="0" fontId="24" fillId="0" borderId="0" xfId="0" applyFont="1" applyAlignment="1">
      <alignment horizontal="center" vertical="center"/>
    </xf>
    <xf numFmtId="2" fontId="21" fillId="0" borderId="0" xfId="0" applyNumberFormat="1" applyFont="1" applyAlignment="1">
      <alignment horizontal="center"/>
    </xf>
    <xf numFmtId="0" fontId="19" fillId="0" borderId="4" xfId="0" applyFont="1" applyBorder="1"/>
    <xf numFmtId="2" fontId="22" fillId="0" borderId="0" xfId="0" applyNumberFormat="1" applyFont="1" applyAlignment="1">
      <alignment horizontal="right" vertical="center"/>
    </xf>
    <xf numFmtId="2" fontId="21" fillId="0" borderId="0" xfId="0" applyNumberFormat="1" applyFont="1"/>
    <xf numFmtId="2" fontId="21" fillId="0" borderId="0" xfId="0" applyNumberFormat="1" applyFont="1" applyAlignment="1">
      <alignment horizontal="right"/>
    </xf>
    <xf numFmtId="10" fontId="21" fillId="0" borderId="0" xfId="0" applyNumberFormat="1" applyFont="1"/>
    <xf numFmtId="0" fontId="39" fillId="0" borderId="0" xfId="0" applyFont="1" applyAlignment="1">
      <alignment horizontal="center"/>
    </xf>
    <xf numFmtId="0" fontId="40" fillId="0" borderId="0" xfId="0" applyFont="1"/>
    <xf numFmtId="0" fontId="41" fillId="0" borderId="17" xfId="0" applyFont="1" applyBorder="1" applyAlignment="1">
      <alignment horizontal="center"/>
    </xf>
    <xf numFmtId="0" fontId="36" fillId="0" borderId="0" xfId="0" applyFont="1" applyAlignment="1">
      <alignment horizontal="right"/>
    </xf>
    <xf numFmtId="0" fontId="28" fillId="0" borderId="0" xfId="0" applyFont="1" applyAlignment="1">
      <alignment horizontal="center"/>
    </xf>
    <xf numFmtId="0" fontId="21" fillId="0" borderId="24" xfId="0" applyFont="1" applyBorder="1" applyAlignment="1">
      <alignment horizontal="center"/>
    </xf>
    <xf numFmtId="0" fontId="21" fillId="0" borderId="10" xfId="0" applyFont="1" applyBorder="1" applyAlignment="1">
      <alignment horizontal="center"/>
    </xf>
    <xf numFmtId="0" fontId="21" fillId="0" borderId="3" xfId="0" applyFont="1" applyBorder="1" applyAlignment="1">
      <alignment horizontal="center"/>
    </xf>
    <xf numFmtId="10" fontId="21" fillId="0" borderId="0" xfId="2" applyNumberFormat="1" applyFont="1"/>
    <xf numFmtId="10" fontId="21" fillId="0" borderId="0" xfId="1" applyNumberFormat="1" applyFont="1" applyFill="1"/>
    <xf numFmtId="10" fontId="44" fillId="0" borderId="0" xfId="2" applyNumberFormat="1" applyFont="1" applyFill="1" applyAlignment="1">
      <alignment horizontal="center"/>
    </xf>
    <xf numFmtId="164" fontId="21" fillId="0" borderId="0" xfId="1" applyNumberFormat="1" applyFont="1"/>
    <xf numFmtId="0" fontId="19" fillId="0" borderId="0" xfId="0" applyFont="1" applyAlignment="1">
      <alignment horizontal="left"/>
    </xf>
    <xf numFmtId="0" fontId="21" fillId="0" borderId="2" xfId="0" applyFont="1" applyBorder="1"/>
    <xf numFmtId="0" fontId="34" fillId="0" borderId="7" xfId="0" applyFont="1" applyBorder="1" applyAlignment="1">
      <alignment horizontal="center"/>
    </xf>
    <xf numFmtId="0" fontId="34" fillId="0" borderId="10" xfId="0" applyFont="1" applyBorder="1" applyAlignment="1">
      <alignment horizontal="center"/>
    </xf>
    <xf numFmtId="0" fontId="34" fillId="0" borderId="0" xfId="0" applyFont="1" applyAlignment="1">
      <alignment horizontal="center"/>
    </xf>
    <xf numFmtId="15" fontId="34" fillId="0" borderId="10" xfId="0" applyNumberFormat="1" applyFont="1" applyBorder="1" applyAlignment="1">
      <alignment horizontal="center"/>
    </xf>
    <xf numFmtId="15" fontId="34" fillId="0" borderId="0" xfId="0" quotePrefix="1" applyNumberFormat="1" applyFont="1" applyAlignment="1">
      <alignment horizontal="center"/>
    </xf>
    <xf numFmtId="0" fontId="38" fillId="0" borderId="10" xfId="0" applyFont="1" applyBorder="1" applyAlignment="1">
      <alignment horizontal="center"/>
    </xf>
    <xf numFmtId="0" fontId="34" fillId="0" borderId="8" xfId="0" applyFont="1" applyBorder="1" applyAlignment="1">
      <alignment horizontal="center"/>
    </xf>
    <xf numFmtId="0" fontId="34" fillId="0" borderId="3" xfId="0" applyFont="1" applyBorder="1" applyAlignment="1">
      <alignment horizontal="center"/>
    </xf>
    <xf numFmtId="0" fontId="34" fillId="0" borderId="2" xfId="0" applyFont="1" applyBorder="1" applyAlignment="1">
      <alignment horizontal="center"/>
    </xf>
    <xf numFmtId="0" fontId="35" fillId="0" borderId="3" xfId="0" applyFont="1" applyBorder="1" applyAlignment="1">
      <alignment horizontal="center"/>
    </xf>
    <xf numFmtId="0" fontId="35" fillId="0" borderId="2" xfId="0" applyFont="1" applyBorder="1" applyAlignment="1">
      <alignment horizontal="center"/>
    </xf>
    <xf numFmtId="0" fontId="35" fillId="0" borderId="9" xfId="0" applyFont="1" applyBorder="1" applyAlignment="1">
      <alignment horizontal="center"/>
    </xf>
    <xf numFmtId="0" fontId="35" fillId="0" borderId="11" xfId="0" applyFont="1" applyBorder="1" applyAlignment="1">
      <alignment horizontal="center"/>
    </xf>
    <xf numFmtId="0" fontId="34" fillId="0" borderId="10" xfId="0" applyFont="1" applyBorder="1"/>
    <xf numFmtId="0" fontId="34" fillId="0" borderId="7" xfId="0" applyFont="1" applyBorder="1"/>
    <xf numFmtId="0" fontId="38" fillId="0" borderId="0" xfId="0" applyFont="1" applyAlignment="1">
      <alignment horizontal="center"/>
    </xf>
    <xf numFmtId="2" fontId="38" fillId="0" borderId="10" xfId="0" applyNumberFormat="1" applyFont="1" applyBorder="1" applyAlignment="1">
      <alignment horizontal="center"/>
    </xf>
    <xf numFmtId="0" fontId="38" fillId="0" borderId="7" xfId="0" applyFont="1" applyBorder="1"/>
    <xf numFmtId="0" fontId="37" fillId="0" borderId="0" xfId="0" applyFont="1"/>
    <xf numFmtId="0" fontId="45" fillId="0" borderId="2" xfId="0" applyFont="1" applyBorder="1"/>
    <xf numFmtId="0" fontId="37" fillId="0" borderId="2" xfId="0" applyFont="1" applyBorder="1"/>
    <xf numFmtId="0" fontId="37" fillId="0" borderId="5" xfId="0" applyFont="1" applyBorder="1"/>
    <xf numFmtId="0" fontId="37" fillId="0" borderId="6" xfId="0" applyFont="1" applyBorder="1"/>
    <xf numFmtId="15" fontId="34" fillId="0" borderId="6" xfId="0" quotePrefix="1" applyNumberFormat="1" applyFont="1" applyBorder="1" applyAlignment="1">
      <alignment horizontal="center"/>
    </xf>
    <xf numFmtId="0" fontId="19" fillId="0" borderId="6" xfId="0" applyFont="1" applyBorder="1"/>
    <xf numFmtId="0" fontId="37" fillId="0" borderId="12" xfId="0" applyFont="1" applyBorder="1"/>
    <xf numFmtId="0" fontId="38" fillId="0" borderId="13" xfId="0" applyFont="1" applyBorder="1" applyAlignment="1">
      <alignment horizontal="center"/>
    </xf>
    <xf numFmtId="0" fontId="34" fillId="0" borderId="14" xfId="0" applyFont="1" applyBorder="1" applyAlignment="1">
      <alignment horizontal="center"/>
    </xf>
    <xf numFmtId="0" fontId="35" fillId="0" borderId="15" xfId="0" applyFont="1" applyBorder="1" applyAlignment="1">
      <alignment horizontal="center"/>
    </xf>
    <xf numFmtId="0" fontId="34" fillId="0" borderId="13" xfId="0" applyFont="1" applyBorder="1"/>
    <xf numFmtId="164" fontId="38" fillId="0" borderId="0" xfId="1" applyNumberFormat="1" applyFont="1" applyFill="1" applyBorder="1"/>
    <xf numFmtId="10" fontId="38" fillId="0" borderId="0" xfId="2" applyNumberFormat="1" applyFont="1" applyFill="1" applyBorder="1"/>
    <xf numFmtId="10" fontId="38" fillId="0" borderId="13" xfId="2" applyNumberFormat="1" applyFont="1" applyFill="1" applyBorder="1"/>
    <xf numFmtId="0" fontId="37" fillId="0" borderId="8" xfId="0" applyFont="1" applyBorder="1"/>
    <xf numFmtId="0" fontId="37" fillId="0" borderId="14" xfId="0" applyFont="1" applyBorder="1"/>
    <xf numFmtId="0" fontId="34" fillId="0" borderId="0" xfId="0" applyFont="1" applyAlignment="1">
      <alignment horizontal="right"/>
    </xf>
    <xf numFmtId="164" fontId="21" fillId="0" borderId="0" xfId="0" applyNumberFormat="1" applyFont="1"/>
    <xf numFmtId="10" fontId="34" fillId="0" borderId="0" xfId="0" applyNumberFormat="1" applyFont="1" applyAlignment="1">
      <alignment horizontal="right"/>
    </xf>
    <xf numFmtId="10" fontId="34" fillId="0" borderId="0" xfId="2" applyNumberFormat="1" applyFont="1" applyFill="1"/>
    <xf numFmtId="10" fontId="34" fillId="0" borderId="0" xfId="2" applyNumberFormat="1" applyFont="1"/>
    <xf numFmtId="2" fontId="19" fillId="0" borderId="0" xfId="0" applyNumberFormat="1" applyFont="1"/>
    <xf numFmtId="0" fontId="21" fillId="0" borderId="1" xfId="0" applyFont="1" applyBorder="1" applyAlignment="1">
      <alignment horizontal="center"/>
    </xf>
    <xf numFmtId="0" fontId="28" fillId="0" borderId="0" xfId="0" applyFont="1" applyAlignment="1">
      <alignment horizontal="right"/>
    </xf>
    <xf numFmtId="0" fontId="22" fillId="0" borderId="0" xfId="0" applyFont="1"/>
    <xf numFmtId="0" fontId="20" fillId="0" borderId="0" xfId="0" applyFont="1"/>
    <xf numFmtId="0" fontId="20" fillId="0" borderId="0" xfId="0" applyFont="1" applyAlignment="1">
      <alignment horizontal="left"/>
    </xf>
    <xf numFmtId="0" fontId="48" fillId="0" borderId="0" xfId="6" applyFont="1" applyFill="1" applyAlignment="1" applyProtection="1">
      <alignment horizontal="left" vertical="top"/>
    </xf>
    <xf numFmtId="0" fontId="20" fillId="0" borderId="0" xfId="0" applyFont="1" applyAlignment="1">
      <alignment horizontal="left" vertical="top"/>
    </xf>
    <xf numFmtId="0" fontId="20" fillId="0" borderId="0" xfId="0" applyFont="1" applyAlignment="1">
      <alignment vertical="top"/>
    </xf>
    <xf numFmtId="0" fontId="49" fillId="0" borderId="0" xfId="0" applyFont="1" applyAlignment="1">
      <alignment horizontal="left" vertical="top"/>
    </xf>
    <xf numFmtId="0" fontId="49" fillId="0" borderId="0" xfId="0" applyFont="1"/>
    <xf numFmtId="165" fontId="21" fillId="0" borderId="0" xfId="3" applyNumberFormat="1" applyFont="1" applyFill="1" applyAlignment="1">
      <alignment horizontal="center"/>
    </xf>
    <xf numFmtId="164" fontId="22" fillId="0" borderId="0" xfId="1" applyNumberFormat="1" applyFont="1" applyFill="1"/>
    <xf numFmtId="10" fontId="22" fillId="0" borderId="0" xfId="2" applyNumberFormat="1" applyFont="1" applyFill="1"/>
    <xf numFmtId="0" fontId="28" fillId="0" borderId="2" xfId="0" applyFont="1" applyBorder="1" applyAlignment="1">
      <alignment horizontal="center"/>
    </xf>
    <xf numFmtId="10" fontId="38" fillId="0" borderId="0" xfId="2" applyNumberFormat="1" applyFont="1" applyFill="1" applyAlignment="1">
      <alignment horizontal="center"/>
    </xf>
    <xf numFmtId="10" fontId="38" fillId="0" borderId="0" xfId="2" applyNumberFormat="1" applyFont="1" applyFill="1"/>
    <xf numFmtId="2" fontId="50" fillId="0" borderId="0" xfId="0" applyNumberFormat="1" applyFont="1" applyAlignment="1">
      <alignment horizontal="center"/>
    </xf>
    <xf numFmtId="2" fontId="34" fillId="0" borderId="2" xfId="0" applyNumberFormat="1" applyFont="1" applyBorder="1" applyAlignment="1">
      <alignment horizontal="center"/>
    </xf>
    <xf numFmtId="10" fontId="34" fillId="0" borderId="2" xfId="2" applyNumberFormat="1" applyFont="1" applyBorder="1"/>
    <xf numFmtId="10" fontId="34" fillId="0" borderId="0" xfId="0" applyNumberFormat="1" applyFont="1" applyAlignment="1">
      <alignment horizontal="center"/>
    </xf>
    <xf numFmtId="2" fontId="34" fillId="0" borderId="0" xfId="0" applyNumberFormat="1" applyFont="1" applyAlignment="1">
      <alignment horizontal="center"/>
    </xf>
    <xf numFmtId="0" fontId="38" fillId="0" borderId="0" xfId="0" applyFont="1"/>
    <xf numFmtId="0" fontId="34" fillId="0" borderId="0" xfId="0" applyFont="1" applyAlignment="1">
      <alignment horizontal="left"/>
    </xf>
    <xf numFmtId="10" fontId="22" fillId="0" borderId="4" xfId="2" applyNumberFormat="1" applyFont="1" applyFill="1" applyBorder="1" applyAlignment="1">
      <alignment horizontal="center"/>
    </xf>
    <xf numFmtId="10" fontId="19" fillId="0" borderId="0" xfId="0" applyNumberFormat="1" applyFont="1"/>
    <xf numFmtId="0" fontId="18" fillId="0" borderId="0" xfId="6"/>
    <xf numFmtId="0" fontId="21" fillId="0" borderId="0" xfId="0" applyFont="1" applyAlignment="1">
      <alignment horizontal="left"/>
    </xf>
    <xf numFmtId="0" fontId="51" fillId="0" borderId="2" xfId="0" applyFont="1" applyBorder="1"/>
    <xf numFmtId="0" fontId="0" fillId="0" borderId="2" xfId="0" applyBorder="1"/>
    <xf numFmtId="0" fontId="28" fillId="0" borderId="2" xfId="0" applyFont="1" applyBorder="1"/>
    <xf numFmtId="0" fontId="19" fillId="0" borderId="5" xfId="0" applyFont="1" applyBorder="1"/>
    <xf numFmtId="0" fontId="19" fillId="0" borderId="12" xfId="0" applyFont="1" applyBorder="1"/>
    <xf numFmtId="0" fontId="21" fillId="0" borderId="8" xfId="0" applyFont="1" applyBorder="1" applyAlignment="1">
      <alignment horizontal="center" vertical="center"/>
    </xf>
    <xf numFmtId="0" fontId="28" fillId="0" borderId="34" xfId="0" applyFont="1" applyBorder="1" applyAlignment="1">
      <alignment horizontal="center" vertical="center" wrapText="1"/>
    </xf>
    <xf numFmtId="0" fontId="28" fillId="0" borderId="16" xfId="0" applyFont="1" applyBorder="1" applyAlignment="1">
      <alignment horizontal="center" vertical="center"/>
    </xf>
    <xf numFmtId="0" fontId="28" fillId="0" borderId="16" xfId="0" applyFont="1" applyBorder="1" applyAlignment="1">
      <alignment horizontal="center" vertical="center" wrapText="1"/>
    </xf>
    <xf numFmtId="0" fontId="28" fillId="0" borderId="32" xfId="0" applyFont="1" applyBorder="1" applyAlignment="1">
      <alignment horizontal="center" vertical="center"/>
    </xf>
    <xf numFmtId="0" fontId="34" fillId="0" borderId="16" xfId="0" applyFont="1" applyBorder="1" applyAlignment="1">
      <alignment horizontal="center" vertical="center"/>
    </xf>
    <xf numFmtId="0" fontId="28" fillId="0" borderId="7" xfId="0" applyFont="1" applyBorder="1" applyAlignment="1">
      <alignment horizontal="center" vertical="center"/>
    </xf>
    <xf numFmtId="10" fontId="28" fillId="0" borderId="2" xfId="2" applyNumberFormat="1" applyFont="1" applyBorder="1" applyAlignment="1">
      <alignment horizontal="center" vertical="center"/>
    </xf>
    <xf numFmtId="0" fontId="34" fillId="0" borderId="2" xfId="0" applyFont="1" applyBorder="1" applyAlignment="1">
      <alignment horizontal="center" vertical="center"/>
    </xf>
    <xf numFmtId="0" fontId="51" fillId="0" borderId="33" xfId="0" applyFont="1" applyBorder="1"/>
    <xf numFmtId="0" fontId="19" fillId="0" borderId="27" xfId="0" applyFont="1" applyBorder="1"/>
    <xf numFmtId="0" fontId="19" fillId="0" borderId="26" xfId="0" applyFont="1" applyBorder="1"/>
    <xf numFmtId="0" fontId="34" fillId="0" borderId="29" xfId="0" applyFont="1" applyBorder="1"/>
    <xf numFmtId="0" fontId="34" fillId="0" borderId="31" xfId="0" applyFont="1" applyBorder="1"/>
    <xf numFmtId="10" fontId="38" fillId="0" borderId="25" xfId="2" applyNumberFormat="1" applyFont="1" applyFill="1" applyBorder="1" applyAlignment="1">
      <alignment horizontal="center"/>
    </xf>
    <xf numFmtId="0" fontId="34" fillId="0" borderId="20" xfId="0" applyFont="1" applyBorder="1"/>
    <xf numFmtId="10" fontId="38" fillId="0" borderId="26" xfId="2" applyNumberFormat="1" applyFont="1" applyFill="1" applyBorder="1" applyAlignment="1">
      <alignment horizontal="center"/>
    </xf>
    <xf numFmtId="0" fontId="34" fillId="0" borderId="22" xfId="0" applyFont="1" applyBorder="1"/>
    <xf numFmtId="0" fontId="34" fillId="0" borderId="1" xfId="0" applyFont="1" applyBorder="1"/>
    <xf numFmtId="10" fontId="38" fillId="0" borderId="27" xfId="2" applyNumberFormat="1" applyFont="1" applyFill="1" applyBorder="1" applyAlignment="1">
      <alignment horizontal="center"/>
    </xf>
    <xf numFmtId="10" fontId="38" fillId="0" borderId="26" xfId="2" applyNumberFormat="1" applyFont="1" applyBorder="1" applyAlignment="1">
      <alignment horizontal="center" vertical="center"/>
    </xf>
    <xf numFmtId="10" fontId="34" fillId="0" borderId="25" xfId="2" applyNumberFormat="1" applyFont="1" applyFill="1" applyBorder="1" applyAlignment="1">
      <alignment horizontal="center"/>
    </xf>
    <xf numFmtId="10" fontId="34" fillId="0" borderId="27" xfId="2" applyNumberFormat="1" applyFont="1" applyFill="1" applyBorder="1" applyAlignment="1">
      <alignment horizontal="center"/>
    </xf>
    <xf numFmtId="10" fontId="38" fillId="0" borderId="0" xfId="2" applyNumberFormat="1" applyFont="1" applyAlignment="1">
      <alignment horizontal="right" vertical="center"/>
    </xf>
    <xf numFmtId="43" fontId="38" fillId="0" borderId="0" xfId="1" applyFont="1" applyAlignment="1">
      <alignment horizontal="right" vertical="center"/>
    </xf>
    <xf numFmtId="43" fontId="38" fillId="0" borderId="0" xfId="1" applyFont="1" applyFill="1" applyAlignment="1">
      <alignment horizontal="right" vertical="center"/>
    </xf>
    <xf numFmtId="10" fontId="34" fillId="0" borderId="0" xfId="2" applyNumberFormat="1" applyFont="1" applyFill="1" applyAlignment="1">
      <alignment horizontal="right"/>
    </xf>
    <xf numFmtId="43" fontId="34" fillId="0" borderId="0" xfId="1" applyFont="1" applyFill="1" applyAlignment="1">
      <alignment horizontal="right"/>
    </xf>
    <xf numFmtId="43" fontId="34" fillId="0" borderId="0" xfId="1" applyFont="1" applyFill="1"/>
    <xf numFmtId="0" fontId="34" fillId="0" borderId="0" xfId="0" applyFont="1" applyAlignment="1">
      <alignment horizontal="center" vertical="center"/>
    </xf>
    <xf numFmtId="0" fontId="22" fillId="0" borderId="25" xfId="0" applyFont="1" applyBorder="1" applyAlignment="1">
      <alignment horizontal="center"/>
    </xf>
    <xf numFmtId="0" fontId="22" fillId="0" borderId="27" xfId="0" applyFont="1" applyBorder="1" applyAlignment="1">
      <alignment horizontal="center"/>
    </xf>
    <xf numFmtId="44" fontId="38" fillId="0" borderId="0" xfId="3" applyFont="1" applyAlignment="1">
      <alignment horizontal="center"/>
    </xf>
    <xf numFmtId="165" fontId="21" fillId="0" borderId="0" xfId="0" applyNumberFormat="1" applyFont="1" applyAlignment="1">
      <alignment horizontal="center"/>
    </xf>
    <xf numFmtId="0" fontId="29" fillId="0" borderId="0" xfId="0" applyFont="1"/>
    <xf numFmtId="0" fontId="33" fillId="0" borderId="0" xfId="0" applyFont="1"/>
    <xf numFmtId="0" fontId="21" fillId="0" borderId="0" xfId="0" applyFont="1" applyAlignment="1">
      <alignment horizontal="right" vertical="center"/>
    </xf>
    <xf numFmtId="0" fontId="0" fillId="0" borderId="34" xfId="0" applyBorder="1"/>
    <xf numFmtId="0" fontId="19" fillId="0" borderId="32" xfId="0" applyFont="1" applyBorder="1"/>
    <xf numFmtId="0" fontId="24" fillId="0" borderId="34" xfId="0" applyFont="1" applyBorder="1" applyAlignment="1">
      <alignment horizontal="right"/>
    </xf>
    <xf numFmtId="10" fontId="24" fillId="0" borderId="16" xfId="2" applyNumberFormat="1" applyFont="1" applyFill="1" applyBorder="1" applyAlignment="1">
      <alignment horizontal="center"/>
    </xf>
    <xf numFmtId="0" fontId="36" fillId="0" borderId="16" xfId="0" applyFont="1" applyBorder="1" applyAlignment="1">
      <alignment horizontal="center"/>
    </xf>
    <xf numFmtId="0" fontId="23" fillId="0" borderId="32" xfId="0" applyFont="1" applyBorder="1"/>
    <xf numFmtId="0" fontId="23" fillId="0" borderId="34" xfId="0" applyFont="1" applyBorder="1" applyAlignment="1">
      <alignment horizontal="right"/>
    </xf>
    <xf numFmtId="0" fontId="23" fillId="0" borderId="34" xfId="0" applyFont="1" applyBorder="1"/>
    <xf numFmtId="0" fontId="19" fillId="0" borderId="34" xfId="0" applyFont="1" applyBorder="1"/>
    <xf numFmtId="0" fontId="34" fillId="0" borderId="7" xfId="0" applyFont="1" applyBorder="1" applyAlignment="1">
      <alignment horizontal="center" vertical="center"/>
    </xf>
    <xf numFmtId="10" fontId="34" fillId="0" borderId="0" xfId="2" applyNumberFormat="1" applyFont="1" applyBorder="1" applyAlignment="1">
      <alignment horizontal="center" vertical="center"/>
    </xf>
    <xf numFmtId="10" fontId="34" fillId="0" borderId="13" xfId="2" applyNumberFormat="1" applyFont="1" applyBorder="1" applyAlignment="1">
      <alignment horizontal="center" vertical="center"/>
    </xf>
    <xf numFmtId="0" fontId="37" fillId="0" borderId="7" xfId="0" applyFont="1" applyBorder="1"/>
    <xf numFmtId="0" fontId="37" fillId="0" borderId="13" xfId="0" applyFont="1" applyBorder="1"/>
    <xf numFmtId="0" fontId="24" fillId="0" borderId="16" xfId="0" applyFont="1" applyBorder="1" applyAlignment="1">
      <alignment horizontal="center" vertical="center"/>
    </xf>
    <xf numFmtId="0" fontId="54" fillId="0" borderId="0" xfId="0" applyFont="1"/>
    <xf numFmtId="0" fontId="24" fillId="0" borderId="16" xfId="0" applyFont="1" applyBorder="1" applyAlignment="1">
      <alignment horizontal="right"/>
    </xf>
    <xf numFmtId="2" fontId="34" fillId="0" borderId="16" xfId="0" applyNumberFormat="1" applyFont="1" applyBorder="1" applyAlignment="1">
      <alignment horizontal="center"/>
    </xf>
    <xf numFmtId="43" fontId="34" fillId="0" borderId="0" xfId="1" applyFont="1" applyBorder="1" applyAlignment="1">
      <alignment horizontal="center" vertical="center"/>
    </xf>
    <xf numFmtId="43" fontId="34" fillId="0" borderId="0" xfId="1" applyFont="1" applyBorder="1" applyAlignment="1">
      <alignment vertical="center"/>
    </xf>
    <xf numFmtId="10" fontId="34" fillId="0" borderId="0" xfId="2" applyNumberFormat="1" applyFont="1" applyBorder="1" applyAlignment="1">
      <alignment vertical="center"/>
    </xf>
    <xf numFmtId="10" fontId="0" fillId="0" borderId="0" xfId="2" applyNumberFormat="1" applyFont="1"/>
    <xf numFmtId="10" fontId="34" fillId="0" borderId="0" xfId="2" applyNumberFormat="1" applyFont="1" applyFill="1" applyBorder="1" applyAlignment="1">
      <alignment horizontal="center" vertical="center"/>
    </xf>
    <xf numFmtId="0" fontId="34" fillId="0" borderId="30" xfId="0" applyFont="1" applyBorder="1"/>
    <xf numFmtId="0" fontId="34" fillId="0" borderId="21" xfId="0" applyFont="1" applyBorder="1"/>
    <xf numFmtId="0" fontId="34" fillId="0" borderId="23" xfId="0" applyFont="1" applyBorder="1"/>
    <xf numFmtId="10" fontId="38" fillId="3" borderId="26" xfId="2" applyNumberFormat="1" applyFont="1" applyFill="1" applyBorder="1" applyAlignment="1">
      <alignment horizontal="center"/>
    </xf>
    <xf numFmtId="0" fontId="19" fillId="0" borderId="24" xfId="0" applyFont="1" applyBorder="1"/>
    <xf numFmtId="10" fontId="28" fillId="0" borderId="3" xfId="2" applyNumberFormat="1" applyFont="1" applyBorder="1" applyAlignment="1">
      <alignment horizontal="center" vertical="center"/>
    </xf>
    <xf numFmtId="10" fontId="23" fillId="0" borderId="0" xfId="2" applyNumberFormat="1" applyFont="1" applyAlignment="1">
      <alignment horizontal="center"/>
    </xf>
    <xf numFmtId="0" fontId="55" fillId="0" borderId="0" xfId="0" applyFont="1"/>
    <xf numFmtId="0" fontId="31" fillId="0" borderId="0" xfId="0" applyFont="1"/>
    <xf numFmtId="164" fontId="21" fillId="0" borderId="0" xfId="1" applyNumberFormat="1" applyFont="1" applyFill="1" applyAlignment="1">
      <alignment horizontal="center"/>
    </xf>
    <xf numFmtId="164" fontId="21" fillId="0" borderId="0" xfId="1" applyNumberFormat="1" applyFont="1" applyFill="1" applyAlignment="1"/>
    <xf numFmtId="2" fontId="24" fillId="0" borderId="16" xfId="0" applyNumberFormat="1" applyFont="1" applyBorder="1" applyAlignment="1">
      <alignment horizontal="center"/>
    </xf>
    <xf numFmtId="10" fontId="24" fillId="0" borderId="16" xfId="2" applyNumberFormat="1" applyFont="1" applyBorder="1" applyAlignment="1">
      <alignment horizontal="center"/>
    </xf>
    <xf numFmtId="2" fontId="24" fillId="0" borderId="16" xfId="0" applyNumberFormat="1" applyFont="1" applyBorder="1" applyAlignment="1">
      <alignment horizontal="center" vertical="center"/>
    </xf>
    <xf numFmtId="10" fontId="24" fillId="0" borderId="16" xfId="2" applyNumberFormat="1" applyFont="1" applyBorder="1" applyAlignment="1">
      <alignment horizontal="center" vertical="center"/>
    </xf>
    <xf numFmtId="10" fontId="38" fillId="0" borderId="27" xfId="2" applyNumberFormat="1" applyFont="1" applyBorder="1" applyAlignment="1">
      <alignment horizontal="center" vertical="center"/>
    </xf>
    <xf numFmtId="0" fontId="21" fillId="0" borderId="0" xfId="0" applyFont="1" applyAlignment="1">
      <alignment horizontal="center" vertical="center"/>
    </xf>
    <xf numFmtId="10" fontId="28" fillId="0" borderId="0" xfId="2" applyNumberFormat="1" applyFont="1" applyBorder="1" applyAlignment="1">
      <alignment horizontal="center" vertical="center"/>
    </xf>
    <xf numFmtId="0" fontId="28" fillId="0" borderId="8" xfId="0" applyFont="1" applyBorder="1" applyAlignment="1">
      <alignment horizontal="right" vertical="center"/>
    </xf>
    <xf numFmtId="0" fontId="30" fillId="0" borderId="17" xfId="0" applyFont="1" applyBorder="1" applyAlignment="1">
      <alignment horizontal="center"/>
    </xf>
    <xf numFmtId="10" fontId="21" fillId="0" borderId="0" xfId="0" applyNumberFormat="1" applyFont="1" applyAlignment="1">
      <alignment horizontal="center"/>
    </xf>
    <xf numFmtId="0" fontId="21" fillId="0" borderId="2" xfId="0" quotePrefix="1" applyFont="1" applyBorder="1" applyAlignment="1">
      <alignment horizontal="center"/>
    </xf>
    <xf numFmtId="0" fontId="6" fillId="0" borderId="0" xfId="0" applyFont="1"/>
    <xf numFmtId="0" fontId="56" fillId="0" borderId="0" xfId="0" applyFont="1" applyAlignment="1">
      <alignment horizontal="center"/>
    </xf>
    <xf numFmtId="0" fontId="37" fillId="0" borderId="0" xfId="0" applyFont="1" applyAlignment="1">
      <alignment horizontal="left"/>
    </xf>
    <xf numFmtId="0" fontId="53" fillId="0" borderId="0" xfId="0" applyFont="1" applyAlignment="1">
      <alignment horizontal="left"/>
    </xf>
    <xf numFmtId="0" fontId="57" fillId="0" borderId="0" xfId="0" applyFont="1"/>
    <xf numFmtId="0" fontId="37" fillId="0" borderId="0" xfId="0" applyFont="1" applyAlignment="1">
      <alignment horizontal="right"/>
    </xf>
    <xf numFmtId="0" fontId="37" fillId="0" borderId="2" xfId="0" applyFont="1" applyBorder="1" applyAlignment="1">
      <alignment horizontal="center"/>
    </xf>
    <xf numFmtId="0" fontId="53" fillId="0" borderId="0" xfId="0" applyFont="1"/>
    <xf numFmtId="10" fontId="28" fillId="0" borderId="10" xfId="2" applyNumberFormat="1" applyFont="1" applyFill="1" applyBorder="1" applyAlignment="1">
      <alignment horizontal="center" vertical="center"/>
    </xf>
    <xf numFmtId="43" fontId="24" fillId="0" borderId="16" xfId="1" applyFont="1" applyBorder="1" applyAlignment="1">
      <alignment horizontal="center" vertical="center"/>
    </xf>
    <xf numFmtId="168" fontId="38" fillId="0" borderId="16" xfId="1" applyNumberFormat="1" applyFont="1" applyFill="1" applyBorder="1"/>
    <xf numFmtId="15" fontId="34" fillId="0" borderId="24" xfId="0" applyNumberFormat="1" applyFont="1" applyBorder="1" applyAlignment="1">
      <alignment horizontal="center"/>
    </xf>
    <xf numFmtId="15" fontId="34" fillId="0" borderId="12" xfId="0" applyNumberFormat="1" applyFont="1" applyBorder="1" applyAlignment="1">
      <alignment horizontal="center"/>
    </xf>
    <xf numFmtId="15" fontId="34" fillId="0" borderId="13" xfId="0" applyNumberFormat="1" applyFont="1" applyBorder="1" applyAlignment="1">
      <alignment horizontal="center"/>
    </xf>
    <xf numFmtId="0" fontId="34" fillId="0" borderId="13" xfId="0" applyFont="1" applyBorder="1" applyAlignment="1">
      <alignment horizontal="center"/>
    </xf>
    <xf numFmtId="0" fontId="52" fillId="0" borderId="0" xfId="0" applyFont="1" applyAlignment="1">
      <alignment horizontal="center" vertical="center"/>
    </xf>
    <xf numFmtId="0" fontId="52" fillId="0" borderId="1" xfId="0" applyFont="1" applyBorder="1" applyAlignment="1">
      <alignment horizontal="center" vertical="center"/>
    </xf>
    <xf numFmtId="0" fontId="0" fillId="0" borderId="1" xfId="0" applyBorder="1"/>
    <xf numFmtId="0" fontId="34" fillId="0" borderId="1" xfId="0" applyFont="1" applyBorder="1" applyAlignment="1">
      <alignment horizontal="center"/>
    </xf>
    <xf numFmtId="10" fontId="38" fillId="0" borderId="1" xfId="2" applyNumberFormat="1" applyFont="1" applyFill="1" applyBorder="1" applyAlignment="1">
      <alignment horizontal="center"/>
    </xf>
    <xf numFmtId="43" fontId="38" fillId="0" borderId="1" xfId="1" applyFont="1" applyFill="1" applyBorder="1" applyAlignment="1">
      <alignment horizontal="center"/>
    </xf>
    <xf numFmtId="43" fontId="38" fillId="0" borderId="0" xfId="1" applyFont="1" applyAlignment="1">
      <alignment horizontal="center"/>
    </xf>
    <xf numFmtId="43" fontId="38" fillId="0" borderId="0" xfId="1" applyFont="1" applyFill="1" applyAlignment="1">
      <alignment horizontal="center"/>
    </xf>
    <xf numFmtId="0" fontId="52" fillId="0" borderId="0" xfId="0" applyFont="1" applyAlignment="1">
      <alignment horizontal="right"/>
    </xf>
    <xf numFmtId="43" fontId="52" fillId="0" borderId="0" xfId="0" applyNumberFormat="1" applyFont="1"/>
    <xf numFmtId="2" fontId="52" fillId="0" borderId="0" xfId="0" applyNumberFormat="1" applyFont="1"/>
    <xf numFmtId="0" fontId="34" fillId="0" borderId="5" xfId="0" applyFont="1" applyBorder="1" applyAlignment="1">
      <alignment horizontal="center"/>
    </xf>
    <xf numFmtId="0" fontId="34" fillId="0" borderId="24" xfId="0" applyFont="1" applyBorder="1" applyAlignment="1">
      <alignment horizontal="center"/>
    </xf>
    <xf numFmtId="0" fontId="34" fillId="0" borderId="6" xfId="0" applyFont="1" applyBorder="1" applyAlignment="1">
      <alignment horizontal="center"/>
    </xf>
    <xf numFmtId="164" fontId="38" fillId="0" borderId="10" xfId="1" applyNumberFormat="1" applyFont="1" applyFill="1" applyBorder="1" applyAlignment="1">
      <alignment horizontal="center"/>
    </xf>
    <xf numFmtId="164" fontId="38" fillId="0" borderId="13" xfId="1" applyNumberFormat="1" applyFont="1" applyFill="1" applyBorder="1" applyAlignment="1">
      <alignment horizontal="center"/>
    </xf>
    <xf numFmtId="0" fontId="22" fillId="0" borderId="0" xfId="0" applyFont="1" applyAlignment="1">
      <alignment horizontal="center"/>
    </xf>
    <xf numFmtId="10" fontId="38" fillId="0" borderId="0" xfId="2" applyNumberFormat="1" applyFont="1" applyFill="1" applyBorder="1" applyAlignment="1">
      <alignment horizontal="center"/>
    </xf>
    <xf numFmtId="10" fontId="38" fillId="0" borderId="0" xfId="2" applyNumberFormat="1" applyFont="1" applyBorder="1" applyAlignment="1">
      <alignment horizontal="center" vertical="center"/>
    </xf>
    <xf numFmtId="10" fontId="28" fillId="0" borderId="3" xfId="2" applyNumberFormat="1" applyFont="1" applyFill="1" applyBorder="1" applyAlignment="1">
      <alignment horizontal="center" vertical="center"/>
    </xf>
    <xf numFmtId="0" fontId="24" fillId="0" borderId="19" xfId="0" applyFont="1" applyBorder="1" applyAlignment="1">
      <alignment horizontal="center" vertical="center"/>
    </xf>
    <xf numFmtId="0" fontId="28" fillId="0" borderId="32" xfId="0" applyFont="1" applyBorder="1"/>
    <xf numFmtId="0" fontId="19" fillId="0" borderId="33" xfId="0" applyFont="1" applyBorder="1"/>
    <xf numFmtId="0" fontId="34" fillId="0" borderId="32" xfId="0" applyFont="1" applyBorder="1"/>
    <xf numFmtId="0" fontId="34" fillId="0" borderId="34" xfId="0" applyFont="1" applyBorder="1"/>
    <xf numFmtId="15" fontId="34" fillId="0" borderId="6" xfId="0" applyNumberFormat="1" applyFont="1" applyBorder="1" applyAlignment="1">
      <alignment horizontal="center"/>
    </xf>
    <xf numFmtId="15" fontId="34" fillId="0" borderId="0" xfId="0" applyNumberFormat="1" applyFont="1" applyAlignment="1">
      <alignment horizontal="center"/>
    </xf>
    <xf numFmtId="0" fontId="27" fillId="0" borderId="0" xfId="0" applyFont="1" applyAlignment="1">
      <alignment horizontal="center"/>
    </xf>
    <xf numFmtId="0" fontId="60" fillId="0" borderId="0" xfId="0" applyFont="1"/>
    <xf numFmtId="0" fontId="61" fillId="0" borderId="0" xfId="0" applyFont="1"/>
    <xf numFmtId="0" fontId="34" fillId="0" borderId="12" xfId="0" applyFont="1" applyBorder="1" applyAlignment="1">
      <alignment horizontal="center"/>
    </xf>
    <xf numFmtId="0" fontId="22" fillId="0" borderId="7" xfId="0" applyFont="1" applyBorder="1"/>
    <xf numFmtId="0" fontId="35" fillId="0" borderId="35" xfId="0" applyFont="1" applyBorder="1" applyAlignment="1">
      <alignment horizontal="center"/>
    </xf>
    <xf numFmtId="10" fontId="36" fillId="0" borderId="0" xfId="2" applyNumberFormat="1" applyFont="1" applyFill="1" applyBorder="1"/>
    <xf numFmtId="0" fontId="38" fillId="3" borderId="20" xfId="0" applyFont="1" applyFill="1" applyBorder="1"/>
    <xf numFmtId="0" fontId="62" fillId="0" borderId="0" xfId="0" applyFont="1" applyAlignment="1">
      <alignment horizontal="left" vertical="top" wrapText="1"/>
    </xf>
    <xf numFmtId="0" fontId="37" fillId="0" borderId="0" xfId="0" applyFont="1" applyAlignment="1">
      <alignment horizontal="left" vertical="center"/>
    </xf>
    <xf numFmtId="0" fontId="28" fillId="0" borderId="28" xfId="0" applyFont="1" applyBorder="1" applyAlignment="1">
      <alignment horizontal="center"/>
    </xf>
    <xf numFmtId="0" fontId="37" fillId="3" borderId="26" xfId="0" applyFont="1" applyFill="1" applyBorder="1" applyAlignment="1">
      <alignment horizontal="center"/>
    </xf>
    <xf numFmtId="0" fontId="19" fillId="3" borderId="26" xfId="0" applyFont="1" applyFill="1" applyBorder="1" applyAlignment="1">
      <alignment horizontal="center"/>
    </xf>
    <xf numFmtId="0" fontId="37" fillId="3" borderId="27" xfId="0" applyFont="1" applyFill="1" applyBorder="1" applyAlignment="1">
      <alignment horizontal="center"/>
    </xf>
    <xf numFmtId="0" fontId="19" fillId="3" borderId="27" xfId="0" applyFont="1" applyFill="1" applyBorder="1" applyAlignment="1">
      <alignment horizontal="center"/>
    </xf>
    <xf numFmtId="43" fontId="24" fillId="0" borderId="0" xfId="1" applyFont="1" applyFill="1" applyBorder="1" applyAlignment="1">
      <alignment horizontal="center" vertical="center"/>
    </xf>
    <xf numFmtId="0" fontId="19" fillId="3" borderId="29" xfId="0" applyFont="1" applyFill="1" applyBorder="1" applyAlignment="1">
      <alignment horizontal="center"/>
    </xf>
    <xf numFmtId="0" fontId="19" fillId="3" borderId="30" xfId="0" applyFont="1" applyFill="1" applyBorder="1" applyAlignment="1">
      <alignment horizontal="center"/>
    </xf>
    <xf numFmtId="0" fontId="19" fillId="3" borderId="21" xfId="0" applyFont="1" applyFill="1" applyBorder="1" applyAlignment="1">
      <alignment horizontal="center"/>
    </xf>
    <xf numFmtId="0" fontId="19" fillId="3" borderId="23" xfId="0" applyFont="1" applyFill="1" applyBorder="1" applyAlignment="1">
      <alignment horizontal="center"/>
    </xf>
    <xf numFmtId="0" fontId="37" fillId="3" borderId="25" xfId="0" applyFont="1" applyFill="1" applyBorder="1" applyAlignment="1">
      <alignment horizontal="center"/>
    </xf>
    <xf numFmtId="1" fontId="22" fillId="0" borderId="0" xfId="0" applyNumberFormat="1" applyFont="1" applyAlignment="1">
      <alignment horizontal="center"/>
    </xf>
    <xf numFmtId="164" fontId="22" fillId="0" borderId="1" xfId="1" applyNumberFormat="1" applyFont="1" applyFill="1" applyBorder="1" applyAlignment="1">
      <alignment horizontal="center"/>
    </xf>
    <xf numFmtId="0" fontId="40" fillId="0" borderId="14" xfId="0" applyFont="1" applyBorder="1" applyAlignment="1">
      <alignment horizontal="center"/>
    </xf>
    <xf numFmtId="0" fontId="40" fillId="0" borderId="3" xfId="0" applyFont="1" applyBorder="1" applyAlignment="1">
      <alignment horizontal="center"/>
    </xf>
    <xf numFmtId="0" fontId="35" fillId="0" borderId="36" xfId="0" applyFont="1" applyBorder="1" applyAlignment="1">
      <alignment horizontal="center"/>
    </xf>
    <xf numFmtId="0" fontId="35" fillId="0" borderId="17" xfId="0" applyFont="1" applyBorder="1" applyAlignment="1">
      <alignment horizontal="center"/>
    </xf>
    <xf numFmtId="0" fontId="0" fillId="0" borderId="8" xfId="0" applyBorder="1"/>
    <xf numFmtId="0" fontId="0" fillId="0" borderId="14" xfId="0" applyBorder="1"/>
    <xf numFmtId="0" fontId="34" fillId="0" borderId="16" xfId="0" applyFont="1" applyBorder="1" applyAlignment="1">
      <alignment horizontal="right"/>
    </xf>
    <xf numFmtId="0" fontId="34" fillId="0" borderId="8" xfId="0" applyFont="1" applyBorder="1"/>
    <xf numFmtId="164" fontId="38" fillId="0" borderId="3" xfId="1" applyNumberFormat="1" applyFont="1" applyFill="1" applyBorder="1" applyAlignment="1">
      <alignment horizontal="center"/>
    </xf>
    <xf numFmtId="165" fontId="22" fillId="0" borderId="0" xfId="3" applyNumberFormat="1" applyFont="1" applyFill="1" applyAlignment="1">
      <alignment horizontal="right"/>
    </xf>
    <xf numFmtId="2" fontId="15" fillId="0" borderId="0" xfId="0" applyNumberFormat="1" applyFont="1" applyAlignment="1">
      <alignment horizontal="center"/>
    </xf>
    <xf numFmtId="2" fontId="15" fillId="0" borderId="4" xfId="0" applyNumberFormat="1" applyFont="1" applyBorder="1" applyAlignment="1">
      <alignment horizontal="center"/>
    </xf>
    <xf numFmtId="0" fontId="35" fillId="0" borderId="37" xfId="0" applyFont="1" applyBorder="1" applyAlignment="1">
      <alignment horizontal="center"/>
    </xf>
    <xf numFmtId="2" fontId="38" fillId="0" borderId="13" xfId="0" applyNumberFormat="1" applyFont="1" applyBorder="1" applyAlignment="1">
      <alignment horizontal="center"/>
    </xf>
    <xf numFmtId="3" fontId="63" fillId="0" borderId="0" xfId="0" applyNumberFormat="1" applyFont="1"/>
    <xf numFmtId="0" fontId="35" fillId="0" borderId="24" xfId="0" applyFont="1" applyBorder="1" applyAlignment="1">
      <alignment horizontal="center"/>
    </xf>
    <xf numFmtId="164" fontId="46" fillId="0" borderId="0" xfId="1" applyNumberFormat="1" applyFont="1" applyFill="1" applyBorder="1"/>
    <xf numFmtId="164" fontId="0" fillId="0" borderId="0" xfId="1" applyNumberFormat="1" applyFont="1"/>
    <xf numFmtId="164" fontId="21" fillId="0" borderId="0" xfId="0" applyNumberFormat="1" applyFont="1" applyAlignment="1">
      <alignment horizontal="right"/>
    </xf>
    <xf numFmtId="10" fontId="24" fillId="0" borderId="32" xfId="2" applyNumberFormat="1" applyFont="1" applyFill="1" applyBorder="1" applyAlignment="1">
      <alignment horizontal="right"/>
    </xf>
    <xf numFmtId="10" fontId="24" fillId="0" borderId="34" xfId="0" applyNumberFormat="1" applyFont="1" applyBorder="1"/>
    <xf numFmtId="10" fontId="38" fillId="0" borderId="16" xfId="2" applyNumberFormat="1" applyFont="1" applyFill="1" applyBorder="1"/>
    <xf numFmtId="43" fontId="24" fillId="0" borderId="16" xfId="1" applyFont="1" applyFill="1" applyBorder="1" applyAlignment="1">
      <alignment horizontal="center" vertical="center"/>
    </xf>
    <xf numFmtId="0" fontId="0" fillId="0" borderId="6" xfId="0" applyBorder="1"/>
    <xf numFmtId="10" fontId="38" fillId="0" borderId="0" xfId="2" applyNumberFormat="1" applyFont="1" applyFill="1" applyBorder="1" applyAlignment="1">
      <alignment horizontal="right"/>
    </xf>
    <xf numFmtId="2" fontId="38" fillId="0" borderId="38" xfId="0" applyNumberFormat="1" applyFont="1" applyBorder="1" applyAlignment="1">
      <alignment horizontal="center"/>
    </xf>
    <xf numFmtId="10" fontId="22" fillId="0" borderId="0" xfId="2" applyNumberFormat="1" applyFont="1" applyFill="1" applyAlignment="1">
      <alignment horizontal="center" vertical="center"/>
    </xf>
    <xf numFmtId="10" fontId="22" fillId="0" borderId="1" xfId="2" applyNumberFormat="1" applyFont="1" applyFill="1" applyBorder="1" applyAlignment="1">
      <alignment horizontal="center" vertical="center"/>
    </xf>
    <xf numFmtId="166" fontId="22" fillId="0" borderId="0" xfId="1" applyNumberFormat="1" applyFont="1" applyFill="1" applyAlignment="1">
      <alignment horizontal="center" vertical="center"/>
    </xf>
    <xf numFmtId="165" fontId="22" fillId="0" borderId="0" xfId="3" applyNumberFormat="1" applyFont="1" applyFill="1" applyAlignment="1">
      <alignment horizontal="center"/>
    </xf>
    <xf numFmtId="10" fontId="22" fillId="0" borderId="0" xfId="2" applyNumberFormat="1" applyFont="1" applyFill="1" applyAlignment="1">
      <alignment horizontal="right" vertical="center"/>
    </xf>
    <xf numFmtId="0" fontId="36" fillId="0" borderId="18" xfId="0" applyFont="1" applyBorder="1"/>
    <xf numFmtId="10" fontId="36" fillId="0" borderId="28" xfId="2" applyNumberFormat="1" applyFont="1" applyFill="1" applyBorder="1"/>
    <xf numFmtId="43" fontId="36" fillId="0" borderId="28" xfId="1" applyFont="1" applyFill="1" applyBorder="1"/>
    <xf numFmtId="2" fontId="36" fillId="0" borderId="28" xfId="0" applyNumberFormat="1" applyFont="1" applyBorder="1"/>
    <xf numFmtId="10" fontId="21" fillId="0" borderId="0" xfId="2" applyNumberFormat="1" applyFont="1" applyFill="1" applyAlignment="1">
      <alignment horizontal="right" vertical="center"/>
    </xf>
    <xf numFmtId="10" fontId="21" fillId="0" borderId="0" xfId="2" applyNumberFormat="1" applyFont="1" applyFill="1" applyBorder="1" applyAlignment="1">
      <alignment horizontal="right" vertical="center"/>
    </xf>
    <xf numFmtId="10" fontId="23" fillId="0" borderId="16" xfId="2" applyNumberFormat="1" applyFont="1" applyFill="1" applyBorder="1"/>
    <xf numFmtId="10" fontId="23" fillId="0" borderId="16" xfId="2" applyNumberFormat="1" applyFont="1" applyFill="1" applyBorder="1" applyAlignment="1">
      <alignment horizontal="center"/>
    </xf>
    <xf numFmtId="0" fontId="19" fillId="0" borderId="23" xfId="0" applyFont="1" applyBorder="1"/>
    <xf numFmtId="0" fontId="0" fillId="0" borderId="33" xfId="0" applyBorder="1"/>
    <xf numFmtId="2" fontId="42" fillId="0" borderId="0" xfId="0" applyNumberFormat="1" applyFont="1" applyAlignment="1">
      <alignment horizontal="center"/>
    </xf>
    <xf numFmtId="170" fontId="28" fillId="0" borderId="16" xfId="2" applyNumberFormat="1" applyFont="1" applyFill="1" applyBorder="1" applyAlignment="1">
      <alignment horizontal="center"/>
    </xf>
    <xf numFmtId="10" fontId="22" fillId="0" borderId="0" xfId="2" applyNumberFormat="1" applyFont="1" applyAlignment="1">
      <alignment horizontal="right"/>
    </xf>
    <xf numFmtId="10" fontId="22" fillId="0" borderId="4" xfId="2" applyNumberFormat="1" applyFont="1" applyFill="1" applyBorder="1" applyAlignment="1">
      <alignment horizontal="right"/>
    </xf>
    <xf numFmtId="10" fontId="22" fillId="0" borderId="4" xfId="2" applyNumberFormat="1" applyFont="1" applyBorder="1" applyAlignment="1">
      <alignment horizontal="right"/>
    </xf>
    <xf numFmtId="3" fontId="2" fillId="0" borderId="0" xfId="0" applyNumberFormat="1" applyFont="1" applyAlignment="1">
      <alignment horizontal="right" vertical="center"/>
    </xf>
    <xf numFmtId="164" fontId="63" fillId="0" borderId="0" xfId="1" applyNumberFormat="1" applyFont="1" applyFill="1" applyBorder="1" applyAlignment="1">
      <alignment horizontal="right" vertical="center" wrapText="1"/>
    </xf>
    <xf numFmtId="37" fontId="22" fillId="0" borderId="0" xfId="3" applyNumberFormat="1" applyFont="1" applyFill="1" applyAlignment="1">
      <alignment horizontal="right"/>
    </xf>
    <xf numFmtId="0" fontId="19" fillId="0" borderId="0" xfId="0" applyFont="1" applyAlignment="1">
      <alignment horizontal="right"/>
    </xf>
    <xf numFmtId="10" fontId="23" fillId="0" borderId="0" xfId="2" applyNumberFormat="1" applyFont="1" applyFill="1" applyAlignment="1">
      <alignment horizontal="center"/>
    </xf>
    <xf numFmtId="10" fontId="34" fillId="0" borderId="26" xfId="2" applyNumberFormat="1" applyFont="1" applyFill="1" applyBorder="1" applyAlignment="1">
      <alignment horizontal="center"/>
    </xf>
    <xf numFmtId="0" fontId="66" fillId="0" borderId="0" xfId="0" applyFont="1"/>
    <xf numFmtId="0" fontId="19" fillId="0" borderId="21" xfId="0" applyFont="1" applyBorder="1"/>
    <xf numFmtId="10" fontId="28" fillId="0" borderId="0" xfId="2" applyNumberFormat="1" applyFont="1" applyAlignment="1">
      <alignment horizontal="left"/>
    </xf>
    <xf numFmtId="10" fontId="67" fillId="0" borderId="0" xfId="2" applyNumberFormat="1" applyFont="1" applyFill="1" applyAlignment="1">
      <alignment horizontal="center"/>
    </xf>
    <xf numFmtId="10" fontId="47" fillId="0" borderId="16" xfId="2" applyNumberFormat="1" applyFont="1" applyFill="1" applyBorder="1" applyAlignment="1">
      <alignment horizontal="center"/>
    </xf>
    <xf numFmtId="2" fontId="22" fillId="0" borderId="1" xfId="0" applyNumberFormat="1" applyFont="1" applyBorder="1" applyAlignment="1">
      <alignment horizontal="right" vertical="center"/>
    </xf>
    <xf numFmtId="10" fontId="22" fillId="0" borderId="1" xfId="2" applyNumberFormat="1" applyFont="1" applyFill="1" applyBorder="1" applyAlignment="1">
      <alignment horizontal="right" vertical="center"/>
    </xf>
    <xf numFmtId="43" fontId="22" fillId="0" borderId="1" xfId="1" applyFont="1" applyFill="1" applyBorder="1" applyAlignment="1">
      <alignment horizontal="right" vertical="center"/>
    </xf>
    <xf numFmtId="10" fontId="22" fillId="0" borderId="1" xfId="2" applyNumberFormat="1" applyFont="1" applyBorder="1" applyAlignment="1">
      <alignment horizontal="right" vertical="center"/>
    </xf>
    <xf numFmtId="3" fontId="38" fillId="0" borderId="10" xfId="0" applyNumberFormat="1" applyFont="1" applyBorder="1"/>
    <xf numFmtId="3" fontId="34" fillId="0" borderId="10" xfId="0" applyNumberFormat="1" applyFont="1" applyBorder="1" applyAlignment="1">
      <alignment horizontal="right" vertical="center"/>
    </xf>
    <xf numFmtId="164" fontId="38" fillId="0" borderId="10" xfId="1" applyNumberFormat="1" applyFont="1" applyFill="1" applyBorder="1" applyAlignment="1">
      <alignment horizontal="right" vertical="center" wrapText="1"/>
    </xf>
    <xf numFmtId="3" fontId="34" fillId="0" borderId="10" xfId="0" applyNumberFormat="1" applyFont="1" applyBorder="1"/>
    <xf numFmtId="3" fontId="38" fillId="0" borderId="3" xfId="0" applyNumberFormat="1" applyFont="1" applyBorder="1"/>
    <xf numFmtId="2" fontId="38" fillId="0" borderId="3" xfId="0" applyNumberFormat="1" applyFont="1" applyBorder="1" applyAlignment="1">
      <alignment horizontal="center"/>
    </xf>
    <xf numFmtId="2" fontId="38" fillId="0" borderId="2" xfId="0" applyNumberFormat="1" applyFont="1" applyBorder="1" applyAlignment="1">
      <alignment horizontal="center"/>
    </xf>
    <xf numFmtId="0" fontId="28" fillId="0" borderId="3" xfId="0" applyFont="1" applyBorder="1" applyAlignment="1">
      <alignment horizontal="center"/>
    </xf>
    <xf numFmtId="0" fontId="34" fillId="4" borderId="20" xfId="0" applyFont="1" applyFill="1" applyBorder="1"/>
    <xf numFmtId="0" fontId="38" fillId="4" borderId="20" xfId="0" applyFont="1" applyFill="1" applyBorder="1"/>
    <xf numFmtId="10" fontId="38" fillId="4" borderId="20" xfId="2" applyNumberFormat="1" applyFont="1" applyFill="1" applyBorder="1" applyAlignment="1">
      <alignment horizontal="center"/>
    </xf>
    <xf numFmtId="0" fontId="19" fillId="0" borderId="20" xfId="0" applyFont="1" applyBorder="1"/>
    <xf numFmtId="0" fontId="21" fillId="0" borderId="39" xfId="0" applyFont="1" applyBorder="1" applyAlignment="1">
      <alignment horizontal="center"/>
    </xf>
    <xf numFmtId="0" fontId="21" fillId="0" borderId="40" xfId="0" applyFont="1" applyBorder="1" applyAlignment="1">
      <alignment horizontal="center"/>
    </xf>
    <xf numFmtId="0" fontId="30" fillId="0" borderId="22" xfId="0" applyFont="1" applyBorder="1" applyAlignment="1">
      <alignment horizontal="center"/>
    </xf>
    <xf numFmtId="0" fontId="21" fillId="0" borderId="20" xfId="0" applyFont="1" applyBorder="1" applyAlignment="1">
      <alignment horizontal="center"/>
    </xf>
    <xf numFmtId="44" fontId="22" fillId="0" borderId="20" xfId="3" applyFont="1" applyFill="1" applyBorder="1" applyAlignment="1">
      <alignment horizontal="center"/>
    </xf>
    <xf numFmtId="0" fontId="19" fillId="0" borderId="41" xfId="0" applyFont="1" applyBorder="1"/>
    <xf numFmtId="2" fontId="22" fillId="0" borderId="20" xfId="0" applyNumberFormat="1" applyFont="1" applyBorder="1" applyAlignment="1">
      <alignment horizontal="right" vertical="center"/>
    </xf>
    <xf numFmtId="2" fontId="22" fillId="0" borderId="22" xfId="0" applyNumberFormat="1" applyFont="1" applyBorder="1" applyAlignment="1">
      <alignment horizontal="right" vertical="center"/>
    </xf>
    <xf numFmtId="10" fontId="19" fillId="0" borderId="20" xfId="2" applyNumberFormat="1" applyFont="1" applyFill="1" applyBorder="1"/>
    <xf numFmtId="0" fontId="38" fillId="3" borderId="22" xfId="0" applyFont="1" applyFill="1" applyBorder="1"/>
    <xf numFmtId="10" fontId="38" fillId="3" borderId="27" xfId="2" applyNumberFormat="1" applyFont="1" applyFill="1" applyBorder="1" applyAlignment="1">
      <alignment horizontal="center"/>
    </xf>
    <xf numFmtId="0" fontId="71" fillId="0" borderId="0" xfId="0" applyFont="1"/>
    <xf numFmtId="2" fontId="22" fillId="0" borderId="0" xfId="0" applyNumberFormat="1" applyFont="1" applyAlignment="1">
      <alignment horizontal="right"/>
    </xf>
    <xf numFmtId="0" fontId="19" fillId="0" borderId="8" xfId="0" applyFont="1" applyBorder="1"/>
    <xf numFmtId="0" fontId="19" fillId="0" borderId="14" xfId="0" applyFont="1" applyBorder="1"/>
    <xf numFmtId="10" fontId="38" fillId="3" borderId="20" xfId="2" applyNumberFormat="1" applyFont="1" applyFill="1" applyBorder="1" applyAlignment="1">
      <alignment horizontal="center"/>
    </xf>
    <xf numFmtId="0" fontId="34" fillId="4" borderId="26" xfId="0" applyFont="1" applyFill="1" applyBorder="1"/>
    <xf numFmtId="0" fontId="72" fillId="0" borderId="18" xfId="0" applyFont="1" applyBorder="1"/>
    <xf numFmtId="10" fontId="72" fillId="0" borderId="28" xfId="2" applyNumberFormat="1" applyFont="1" applyFill="1" applyBorder="1" applyAlignment="1">
      <alignment horizontal="center"/>
    </xf>
    <xf numFmtId="166" fontId="22" fillId="0" borderId="1" xfId="1" applyNumberFormat="1" applyFont="1" applyFill="1" applyBorder="1" applyAlignment="1">
      <alignment horizontal="center" vertical="center"/>
    </xf>
    <xf numFmtId="10" fontId="43" fillId="0" borderId="0" xfId="2" applyNumberFormat="1" applyFont="1" applyFill="1" applyBorder="1" applyAlignment="1">
      <alignment horizontal="center"/>
    </xf>
    <xf numFmtId="43" fontId="38" fillId="0" borderId="1" xfId="1" applyFont="1" applyBorder="1" applyAlignment="1">
      <alignment horizontal="right" vertical="center"/>
    </xf>
    <xf numFmtId="43" fontId="38" fillId="0" borderId="1" xfId="1" applyFont="1" applyFill="1" applyBorder="1" applyAlignment="1">
      <alignment horizontal="right" vertical="center"/>
    </xf>
    <xf numFmtId="10" fontId="24" fillId="0" borderId="16" xfId="2" applyNumberFormat="1" applyFont="1" applyFill="1" applyBorder="1" applyAlignment="1">
      <alignment horizontal="center" vertical="center"/>
    </xf>
    <xf numFmtId="0" fontId="37" fillId="3" borderId="0" xfId="0" applyFont="1" applyFill="1" applyAlignment="1">
      <alignment horizontal="center"/>
    </xf>
    <xf numFmtId="0" fontId="19" fillId="3" borderId="42" xfId="0" applyFont="1" applyFill="1" applyBorder="1" applyAlignment="1">
      <alignment horizontal="center"/>
    </xf>
    <xf numFmtId="0" fontId="37" fillId="3" borderId="1" xfId="0" applyFont="1" applyFill="1" applyBorder="1" applyAlignment="1">
      <alignment horizontal="center"/>
    </xf>
    <xf numFmtId="0" fontId="19" fillId="3" borderId="43" xfId="0" applyFont="1" applyFill="1" applyBorder="1" applyAlignment="1">
      <alignment horizontal="center"/>
    </xf>
    <xf numFmtId="0" fontId="19" fillId="3" borderId="44" xfId="0" applyFont="1" applyFill="1" applyBorder="1" applyAlignment="1">
      <alignment horizontal="center"/>
    </xf>
    <xf numFmtId="10" fontId="73" fillId="0" borderId="10" xfId="2" applyNumberFormat="1" applyFont="1" applyFill="1" applyBorder="1" applyAlignment="1">
      <alignment horizontal="center" vertical="center"/>
    </xf>
    <xf numFmtId="10" fontId="73" fillId="0" borderId="0" xfId="2" applyNumberFormat="1" applyFont="1" applyFill="1" applyBorder="1" applyAlignment="1">
      <alignment horizontal="center" vertical="center"/>
    </xf>
    <xf numFmtId="169" fontId="74" fillId="0" borderId="21" xfId="0" applyNumberFormat="1" applyFont="1" applyBorder="1" applyAlignment="1">
      <alignment horizontal="center" vertical="center"/>
    </xf>
    <xf numFmtId="169" fontId="74" fillId="0" borderId="26" xfId="0" applyNumberFormat="1" applyFont="1" applyBorder="1" applyAlignment="1">
      <alignment horizontal="center" vertical="center"/>
    </xf>
    <xf numFmtId="10" fontId="43" fillId="0" borderId="16" xfId="2" applyNumberFormat="1" applyFont="1" applyFill="1" applyBorder="1" applyAlignment="1">
      <alignment horizontal="center"/>
    </xf>
    <xf numFmtId="0" fontId="0" fillId="0" borderId="20" xfId="0" applyBorder="1"/>
    <xf numFmtId="10" fontId="22" fillId="0" borderId="1" xfId="1" applyNumberFormat="1" applyFont="1" applyFill="1" applyBorder="1" applyAlignment="1"/>
    <xf numFmtId="10" fontId="22" fillId="0" borderId="0" xfId="1" applyNumberFormat="1" applyFont="1" applyFill="1" applyAlignment="1">
      <alignment horizontal="right"/>
    </xf>
    <xf numFmtId="10" fontId="28" fillId="0" borderId="16" xfId="2" applyNumberFormat="1" applyFont="1" applyFill="1" applyBorder="1" applyAlignment="1">
      <alignment horizontal="center"/>
    </xf>
    <xf numFmtId="0" fontId="22" fillId="0" borderId="29" xfId="0" applyFont="1" applyBorder="1" applyAlignment="1">
      <alignment horizontal="right"/>
    </xf>
    <xf numFmtId="0" fontId="22" fillId="0" borderId="30" xfId="0" applyFont="1" applyBorder="1" applyAlignment="1">
      <alignment horizontal="left"/>
    </xf>
    <xf numFmtId="0" fontId="22" fillId="0" borderId="20" xfId="0" applyFont="1" applyBorder="1" applyAlignment="1">
      <alignment horizontal="right"/>
    </xf>
    <xf numFmtId="0" fontId="22" fillId="0" borderId="21" xfId="0" applyFont="1" applyBorder="1" applyAlignment="1">
      <alignment horizontal="left"/>
    </xf>
    <xf numFmtId="0" fontId="22" fillId="0" borderId="22" xfId="0" applyFont="1" applyBorder="1" applyAlignment="1">
      <alignment horizontal="right"/>
    </xf>
    <xf numFmtId="0" fontId="22" fillId="0" borderId="23" xfId="0" applyFont="1" applyBorder="1" applyAlignment="1">
      <alignment horizontal="left"/>
    </xf>
    <xf numFmtId="10" fontId="72" fillId="0" borderId="0" xfId="2" applyNumberFormat="1" applyFont="1" applyFill="1" applyBorder="1" applyAlignment="1">
      <alignment horizontal="center"/>
    </xf>
    <xf numFmtId="10" fontId="22" fillId="0" borderId="1" xfId="2" applyNumberFormat="1" applyFont="1" applyFill="1" applyBorder="1" applyAlignment="1">
      <alignment horizontal="center"/>
    </xf>
    <xf numFmtId="0" fontId="47" fillId="0" borderId="0" xfId="0" applyFont="1"/>
    <xf numFmtId="10" fontId="67" fillId="0" borderId="0" xfId="2" applyNumberFormat="1" applyFont="1" applyAlignment="1">
      <alignment horizontal="center"/>
    </xf>
    <xf numFmtId="0" fontId="21" fillId="5" borderId="0" xfId="0" applyFont="1" applyFill="1" applyAlignment="1">
      <alignment horizontal="right"/>
    </xf>
    <xf numFmtId="0" fontId="48" fillId="0" borderId="0" xfId="6" applyFont="1"/>
    <xf numFmtId="10" fontId="38" fillId="0" borderId="0" xfId="2" applyNumberFormat="1" applyFont="1" applyFill="1" applyBorder="1" applyAlignment="1">
      <alignment horizontal="center" vertical="center"/>
    </xf>
    <xf numFmtId="43" fontId="38" fillId="0" borderId="0" xfId="1" applyFont="1" applyBorder="1" applyAlignment="1">
      <alignment vertical="center"/>
    </xf>
    <xf numFmtId="10" fontId="38" fillId="0" borderId="13" xfId="2" applyNumberFormat="1" applyFont="1" applyBorder="1" applyAlignment="1">
      <alignment horizontal="center" vertical="center"/>
    </xf>
    <xf numFmtId="0" fontId="48" fillId="0" borderId="0" xfId="6" applyFont="1" applyFill="1" applyAlignment="1" applyProtection="1"/>
    <xf numFmtId="0" fontId="75" fillId="0" borderId="0" xfId="0" applyFont="1" applyAlignment="1">
      <alignment horizontal="left"/>
    </xf>
    <xf numFmtId="0" fontId="76" fillId="0" borderId="30" xfId="0" applyFont="1" applyBorder="1" applyAlignment="1">
      <alignment horizontal="right"/>
    </xf>
    <xf numFmtId="0" fontId="76" fillId="0" borderId="21" xfId="0" applyFont="1" applyBorder="1" applyAlignment="1">
      <alignment horizontal="left"/>
    </xf>
    <xf numFmtId="0" fontId="76" fillId="0" borderId="23" xfId="0" applyFont="1" applyBorder="1" applyAlignment="1">
      <alignment horizontal="left"/>
    </xf>
    <xf numFmtId="15" fontId="34" fillId="0" borderId="24" xfId="0" quotePrefix="1" applyNumberFormat="1" applyFont="1" applyBorder="1" applyAlignment="1">
      <alignment horizontal="center"/>
    </xf>
    <xf numFmtId="3" fontId="70" fillId="0" borderId="10" xfId="0" applyNumberFormat="1" applyFont="1" applyBorder="1" applyAlignment="1">
      <alignment horizontal="right"/>
    </xf>
    <xf numFmtId="164" fontId="34" fillId="0" borderId="10" xfId="1" applyNumberFormat="1" applyFont="1" applyFill="1" applyBorder="1" applyAlignment="1">
      <alignment horizontal="right"/>
    </xf>
    <xf numFmtId="3" fontId="34" fillId="0" borderId="3" xfId="0" applyNumberFormat="1" applyFont="1" applyBorder="1"/>
    <xf numFmtId="0" fontId="35" fillId="0" borderId="6" xfId="0" applyFont="1" applyBorder="1" applyAlignment="1">
      <alignment horizontal="center"/>
    </xf>
    <xf numFmtId="0" fontId="34" fillId="0" borderId="6" xfId="0" applyFont="1" applyBorder="1"/>
    <xf numFmtId="3" fontId="38" fillId="0" borderId="0" xfId="0" applyNumberFormat="1" applyFont="1"/>
    <xf numFmtId="3" fontId="38" fillId="0" borderId="2" xfId="0" applyNumberFormat="1" applyFont="1" applyBorder="1"/>
    <xf numFmtId="15" fontId="34" fillId="0" borderId="13" xfId="0" quotePrefix="1" applyNumberFormat="1" applyFont="1" applyBorder="1" applyAlignment="1">
      <alignment horizontal="center"/>
    </xf>
    <xf numFmtId="0" fontId="34" fillId="0" borderId="1" xfId="0" applyFont="1" applyBorder="1" applyAlignment="1">
      <alignment horizontal="right"/>
    </xf>
    <xf numFmtId="10" fontId="34" fillId="0" borderId="1" xfId="2" applyNumberFormat="1" applyFont="1" applyFill="1" applyBorder="1"/>
    <xf numFmtId="10" fontId="21" fillId="0" borderId="0" xfId="2" applyNumberFormat="1" applyFont="1" applyAlignment="1">
      <alignment horizontal="center"/>
    </xf>
    <xf numFmtId="10" fontId="22" fillId="3" borderId="24" xfId="2" applyNumberFormat="1" applyFont="1" applyFill="1" applyBorder="1" applyAlignment="1">
      <alignment horizontal="center"/>
    </xf>
    <xf numFmtId="10" fontId="22" fillId="3" borderId="10" xfId="2" applyNumberFormat="1" applyFont="1" applyFill="1" applyBorder="1" applyAlignment="1">
      <alignment horizontal="center"/>
    </xf>
    <xf numFmtId="10" fontId="22" fillId="3" borderId="3" xfId="2" applyNumberFormat="1" applyFont="1" applyFill="1" applyBorder="1" applyAlignment="1">
      <alignment horizontal="center"/>
    </xf>
    <xf numFmtId="10" fontId="22" fillId="3" borderId="3" xfId="1" applyNumberFormat="1" applyFont="1" applyFill="1" applyBorder="1" applyAlignment="1">
      <alignment horizontal="center"/>
    </xf>
    <xf numFmtId="10" fontId="22" fillId="3" borderId="24" xfId="1" applyNumberFormat="1" applyFont="1" applyFill="1" applyBorder="1" applyAlignment="1">
      <alignment horizontal="center"/>
    </xf>
    <xf numFmtId="10" fontId="22" fillId="3" borderId="10" xfId="1" applyNumberFormat="1" applyFont="1" applyFill="1" applyBorder="1" applyAlignment="1">
      <alignment horizontal="center"/>
    </xf>
    <xf numFmtId="0" fontId="65" fillId="3" borderId="24" xfId="0" applyFont="1" applyFill="1" applyBorder="1"/>
    <xf numFmtId="0" fontId="65" fillId="3" borderId="10" xfId="0" applyFont="1" applyFill="1" applyBorder="1"/>
    <xf numFmtId="0" fontId="65" fillId="3" borderId="3" xfId="0" applyFont="1" applyFill="1" applyBorder="1"/>
    <xf numFmtId="0" fontId="65" fillId="3" borderId="16" xfId="0" applyFont="1" applyFill="1" applyBorder="1"/>
    <xf numFmtId="0" fontId="28" fillId="3" borderId="25" xfId="0" applyFont="1" applyFill="1" applyBorder="1" applyAlignment="1">
      <alignment horizontal="center"/>
    </xf>
    <xf numFmtId="2" fontId="24" fillId="0" borderId="28" xfId="0" applyNumberFormat="1" applyFont="1" applyBorder="1"/>
    <xf numFmtId="10" fontId="24" fillId="0" borderId="28" xfId="2" applyNumberFormat="1" applyFont="1" applyFill="1" applyBorder="1"/>
    <xf numFmtId="0" fontId="13" fillId="0" borderId="0" xfId="0" applyFont="1" applyAlignment="1">
      <alignment horizontal="center"/>
    </xf>
    <xf numFmtId="0" fontId="14" fillId="0" borderId="0" xfId="0" applyFont="1" applyAlignment="1">
      <alignment horizontal="center"/>
    </xf>
    <xf numFmtId="0" fontId="11" fillId="0" borderId="0" xfId="0" applyFont="1" applyAlignment="1">
      <alignment horizontal="center"/>
    </xf>
    <xf numFmtId="0" fontId="12" fillId="0" borderId="0" xfId="0" applyFont="1" applyAlignment="1">
      <alignment horizontal="center"/>
    </xf>
    <xf numFmtId="0" fontId="0" fillId="0" borderId="0" xfId="0" applyAlignment="1">
      <alignment horizontal="center"/>
    </xf>
    <xf numFmtId="0" fontId="5" fillId="0" borderId="0" xfId="0" applyFont="1" applyAlignment="1">
      <alignment horizontal="center"/>
    </xf>
    <xf numFmtId="0" fontId="6" fillId="0" borderId="0" xfId="0" applyFont="1" applyAlignment="1">
      <alignment horizontal="center"/>
    </xf>
    <xf numFmtId="0" fontId="7" fillId="0" borderId="0" xfId="0" applyFont="1" applyAlignment="1">
      <alignment horizontal="center"/>
    </xf>
    <xf numFmtId="0" fontId="8" fillId="0" borderId="0" xfId="0" applyFont="1" applyAlignment="1">
      <alignment horizontal="center"/>
    </xf>
    <xf numFmtId="0" fontId="9" fillId="0" borderId="0" xfId="0" applyFont="1" applyAlignment="1">
      <alignment horizontal="center"/>
    </xf>
    <xf numFmtId="0" fontId="10" fillId="0" borderId="0" xfId="0" applyFont="1" applyAlignment="1">
      <alignment horizontal="center"/>
    </xf>
    <xf numFmtId="0" fontId="20" fillId="0" borderId="0" xfId="0" applyFont="1" applyAlignment="1">
      <alignment horizontal="left" vertical="top" wrapText="1"/>
    </xf>
    <xf numFmtId="0" fontId="68" fillId="3" borderId="24" xfId="0" applyFont="1" applyFill="1" applyBorder="1" applyAlignment="1">
      <alignment horizontal="center" vertical="center" wrapText="1"/>
    </xf>
  </cellXfs>
  <cellStyles count="7">
    <cellStyle name="Comma" xfId="1" builtinId="3"/>
    <cellStyle name="Comma0 - Style5" xfId="4" xr:uid="{1397E544-7A5D-4627-82CA-446E9A855C6D}"/>
    <cellStyle name="Currency" xfId="3" builtinId="4"/>
    <cellStyle name="Hyperlink" xfId="6" builtinId="8"/>
    <cellStyle name="Normal" xfId="0" builtinId="0"/>
    <cellStyle name="Percen - Style2" xfId="5" xr:uid="{A055BC95-278A-4F04-A738-FFE257F1BA8F}"/>
    <cellStyle name="Percent" xfId="2" builtinId="5"/>
  </cellStyles>
  <dxfs count="0"/>
  <tableStyles count="0" defaultTableStyle="TableStyleMedium9" defaultPivotStyle="PivotStyleLight16"/>
  <colors>
    <mruColors>
      <color rgb="FFFFFFCC"/>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447674</xdr:colOff>
      <xdr:row>33</xdr:row>
      <xdr:rowOff>53975</xdr:rowOff>
    </xdr:from>
    <xdr:to>
      <xdr:col>6</xdr:col>
      <xdr:colOff>177799</xdr:colOff>
      <xdr:row>35</xdr:row>
      <xdr:rowOff>149225</xdr:rowOff>
    </xdr:to>
    <xdr:pic>
      <xdr:nvPicPr>
        <xdr:cNvPr id="3" name="Picture 2" descr="Horse.bmp">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stretch>
          <a:fillRect/>
        </a:stretch>
      </xdr:blipFill>
      <xdr:spPr>
        <a:xfrm>
          <a:off x="2124074" y="7235825"/>
          <a:ext cx="1781175" cy="476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210430</xdr:colOff>
      <xdr:row>42</xdr:row>
      <xdr:rowOff>77327</xdr:rowOff>
    </xdr:to>
    <xdr:pic>
      <xdr:nvPicPr>
        <xdr:cNvPr id="9" name="Picture 8">
          <a:extLst>
            <a:ext uri="{FF2B5EF4-FFF2-40B4-BE49-F238E27FC236}">
              <a16:creationId xmlns:a16="http://schemas.microsoft.com/office/drawing/2014/main" id="{E6CE5728-A5CC-8DF1-ABBD-9B49B03997D4}"/>
            </a:ext>
          </a:extLst>
        </xdr:cNvPr>
        <xdr:cNvPicPr>
          <a:picLocks noChangeAspect="1"/>
        </xdr:cNvPicPr>
      </xdr:nvPicPr>
      <xdr:blipFill>
        <a:blip xmlns:r="http://schemas.openxmlformats.org/officeDocument/2006/relationships" r:embed="rId1"/>
        <a:stretch>
          <a:fillRect/>
        </a:stretch>
      </xdr:blipFill>
      <xdr:spPr>
        <a:xfrm>
          <a:off x="0" y="0"/>
          <a:ext cx="6306430" cy="807832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8" Type="http://schemas.openxmlformats.org/officeDocument/2006/relationships/hyperlink" Target="http://www.federalreserve.gov/Releases/H15/Current/" TargetMode="External"/><Relationship Id="rId13" Type="http://schemas.openxmlformats.org/officeDocument/2006/relationships/hyperlink" Target="https://www.philadelphiafed.org/-/media/frbp/assets/surveys-and-data/survey-of-professional-forecasters/2024/spfq124.pdf" TargetMode="External"/><Relationship Id="rId3" Type="http://schemas.openxmlformats.org/officeDocument/2006/relationships/hyperlink" Target="http://www.worldbank.org/en/publication/global-economic-prospects" TargetMode="External"/><Relationship Id="rId7" Type="http://schemas.openxmlformats.org/officeDocument/2006/relationships/hyperlink" Target="https://www.philadelphiafed.org/research-and-data/real-time-center/livingston-survey" TargetMode="External"/><Relationship Id="rId12" Type="http://schemas.openxmlformats.org/officeDocument/2006/relationships/hyperlink" Target="https://www.federalreserve.gov/monetarypolicy/files/fomcprojtabl20231213.pdf" TargetMode="External"/><Relationship Id="rId2" Type="http://schemas.openxmlformats.org/officeDocument/2006/relationships/hyperlink" Target="http://www.federalreserve.gov/" TargetMode="External"/><Relationship Id="rId16" Type="http://schemas.openxmlformats.org/officeDocument/2006/relationships/printerSettings" Target="../printerSettings/printerSettings14.bin"/><Relationship Id="rId1" Type="http://schemas.openxmlformats.org/officeDocument/2006/relationships/hyperlink" Target="http://pages.stern.nyu.edu/~adamodar/New_Home_Page/valquestions/stablegrowthrate.htm" TargetMode="External"/><Relationship Id="rId6" Type="http://schemas.openxmlformats.org/officeDocument/2006/relationships/hyperlink" Target="https://www.philadelphiafed.org/surveys-and-data/real-time-data-research/survey-of-professional-forecasters" TargetMode="External"/><Relationship Id="rId11" Type="http://schemas.openxmlformats.org/officeDocument/2006/relationships/hyperlink" Target="https://www.federalreserve.gov/monetarypolicy/files/fomcprojtabl20231213.pdf" TargetMode="External"/><Relationship Id="rId5" Type="http://schemas.openxmlformats.org/officeDocument/2006/relationships/hyperlink" Target="https://www.cbo.gov/about/products/budget-economic-data" TargetMode="External"/><Relationship Id="rId15" Type="http://schemas.openxmlformats.org/officeDocument/2006/relationships/hyperlink" Target="https://www.cbo.gov/publication/59933" TargetMode="External"/><Relationship Id="rId10" Type="http://schemas.openxmlformats.org/officeDocument/2006/relationships/hyperlink" Target="https://www.cbo.gov/system/files/2021-02/56970-Outlook.p" TargetMode="External"/><Relationship Id="rId4" Type="http://schemas.openxmlformats.org/officeDocument/2006/relationships/hyperlink" Target="https://www.philadelphiafed.org/research-and-data/real-time-center/livingston-survey" TargetMode="External"/><Relationship Id="rId9" Type="http://schemas.openxmlformats.org/officeDocument/2006/relationships/hyperlink" Target="https://www.federalreserve.gov/datadownload/Preview.aspx?pi=400&amp;rel=H15&amp;preview=%20H15/H15/RIFLGFCY05_N.WF" TargetMode="External"/><Relationship Id="rId14" Type="http://schemas.openxmlformats.org/officeDocument/2006/relationships/hyperlink" Target="https://www.cbo.gov/publication/59933"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hyperlink" Target="http://pages.stern.nyu.edu/~adamodar/New_Home_Page/datacurrent.html" TargetMode="External"/><Relationship Id="rId2" Type="http://schemas.openxmlformats.org/officeDocument/2006/relationships/hyperlink" Target="https://www.bvresources.com/products/faqs/cost-of-capital-professional" TargetMode="External"/><Relationship Id="rId1" Type="http://schemas.openxmlformats.org/officeDocument/2006/relationships/hyperlink" Target="https://simplywall.st/stocks/us/transportation" TargetMode="External"/><Relationship Id="rId6" Type="http://schemas.openxmlformats.org/officeDocument/2006/relationships/printerSettings" Target="../printerSettings/printerSettings16.bin"/><Relationship Id="rId5" Type="http://schemas.openxmlformats.org/officeDocument/2006/relationships/hyperlink" Target="https://papers.ssrn.com/sol3/papers.cfm?abstract_id=4407839" TargetMode="External"/><Relationship Id="rId4" Type="http://schemas.openxmlformats.org/officeDocument/2006/relationships/hyperlink" Target="https://www.richmondfed.org/research/national_economy/cfo_survey" TargetMode="Externa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M37"/>
  <sheetViews>
    <sheetView view="pageBreakPreview" zoomScale="60" zoomScaleNormal="100" workbookViewId="0">
      <selection activeCell="H43" sqref="H43"/>
    </sheetView>
  </sheetViews>
  <sheetFormatPr defaultRowHeight="14.5"/>
  <cols>
    <col min="5" max="5" width="12.26953125" customWidth="1"/>
    <col min="9" max="9" width="16.453125" customWidth="1"/>
  </cols>
  <sheetData>
    <row r="1" spans="1:13" ht="18.5">
      <c r="A1" s="470" t="s">
        <v>0</v>
      </c>
      <c r="B1" s="471"/>
      <c r="C1" s="471"/>
      <c r="D1" s="471"/>
      <c r="E1" s="471"/>
      <c r="F1" s="471"/>
      <c r="G1" s="471"/>
      <c r="H1" s="471"/>
      <c r="I1" s="471"/>
    </row>
    <row r="5" spans="1:13" ht="27.5">
      <c r="E5" s="472" t="s">
        <v>0</v>
      </c>
      <c r="F5" s="473"/>
      <c r="G5" s="473"/>
      <c r="H5" s="473"/>
      <c r="I5" s="473"/>
      <c r="J5" s="473"/>
      <c r="K5" s="473"/>
      <c r="L5" s="473"/>
      <c r="M5" s="473"/>
    </row>
    <row r="7" spans="1:13" ht="27.5">
      <c r="A7" s="474" t="s">
        <v>30</v>
      </c>
      <c r="B7" s="475"/>
      <c r="C7" s="475"/>
      <c r="D7" s="475"/>
      <c r="E7" s="475"/>
      <c r="F7" s="475"/>
      <c r="G7" s="475"/>
      <c r="H7" s="475"/>
      <c r="I7" s="475"/>
    </row>
    <row r="8" spans="1:13" ht="27.5">
      <c r="A8" s="6"/>
      <c r="B8" s="7"/>
      <c r="C8" s="7"/>
      <c r="D8" s="7"/>
      <c r="E8" s="472" t="s">
        <v>0</v>
      </c>
      <c r="F8" s="473"/>
      <c r="G8" s="473"/>
      <c r="H8" s="473"/>
      <c r="I8" s="473"/>
      <c r="J8" s="473"/>
      <c r="K8" s="473"/>
      <c r="L8" s="473"/>
      <c r="M8" s="473"/>
    </row>
    <row r="9" spans="1:13" ht="27.5">
      <c r="A9" s="472" t="s">
        <v>451</v>
      </c>
      <c r="B9" s="473"/>
      <c r="C9" s="473"/>
      <c r="D9" s="473"/>
      <c r="E9" s="473"/>
      <c r="F9" s="473"/>
      <c r="G9" s="473"/>
      <c r="H9" s="473"/>
      <c r="I9" s="473"/>
    </row>
    <row r="15" spans="1:13">
      <c r="A15" s="467" t="s">
        <v>0</v>
      </c>
      <c r="B15" s="468"/>
      <c r="C15" s="468"/>
      <c r="D15" s="468"/>
      <c r="E15" s="468"/>
      <c r="F15" s="468"/>
      <c r="G15" s="468"/>
      <c r="H15" s="468"/>
      <c r="I15" s="468"/>
    </row>
    <row r="16" spans="1:13" ht="33.5">
      <c r="A16" s="465" t="str">
        <f>+'S&amp;D'!A12</f>
        <v>Water Utility Companies (Private)</v>
      </c>
      <c r="B16" s="466"/>
      <c r="C16" s="466"/>
      <c r="D16" s="466"/>
      <c r="E16" s="466"/>
      <c r="F16" s="466"/>
      <c r="G16" s="466"/>
      <c r="H16" s="466"/>
      <c r="I16" s="466"/>
    </row>
    <row r="17" spans="1:9">
      <c r="A17" s="467" t="s">
        <v>0</v>
      </c>
      <c r="B17" s="468"/>
      <c r="C17" s="468"/>
      <c r="D17" s="468"/>
      <c r="E17" s="468"/>
      <c r="F17" s="468"/>
      <c r="G17" s="468"/>
      <c r="H17" s="468"/>
      <c r="I17" s="468"/>
    </row>
    <row r="18" spans="1:9">
      <c r="A18" s="8"/>
      <c r="B18" s="9"/>
      <c r="C18" s="9"/>
      <c r="D18" s="9"/>
      <c r="E18" s="9"/>
      <c r="F18" s="9"/>
      <c r="G18" s="9"/>
      <c r="H18" s="9"/>
      <c r="I18" s="9"/>
    </row>
    <row r="19" spans="1:9">
      <c r="A19" s="8"/>
      <c r="B19" s="9"/>
      <c r="C19" s="9"/>
      <c r="D19" s="9"/>
      <c r="E19" s="9"/>
      <c r="F19" s="9"/>
      <c r="G19" s="9"/>
      <c r="H19" s="9"/>
      <c r="I19" s="9"/>
    </row>
    <row r="20" spans="1:9">
      <c r="A20" s="8"/>
      <c r="B20" s="9"/>
      <c r="C20" s="9"/>
      <c r="D20" s="9"/>
      <c r="E20" s="9"/>
      <c r="F20" s="9"/>
      <c r="G20" s="9"/>
      <c r="H20" s="9"/>
      <c r="I20" s="9"/>
    </row>
    <row r="21" spans="1:9">
      <c r="A21" s="8"/>
      <c r="B21" s="9"/>
      <c r="C21" s="9"/>
      <c r="D21" s="9"/>
      <c r="E21" s="9"/>
      <c r="F21" s="9"/>
      <c r="G21" s="9"/>
      <c r="H21" s="9"/>
      <c r="I21" s="9"/>
    </row>
    <row r="22" spans="1:9">
      <c r="A22" s="8"/>
      <c r="B22" s="9"/>
      <c r="C22" s="9"/>
      <c r="D22" s="9"/>
      <c r="E22" s="9"/>
      <c r="F22" s="9"/>
      <c r="G22" s="9"/>
      <c r="H22" s="9"/>
      <c r="I22" s="9"/>
    </row>
    <row r="23" spans="1:9">
      <c r="A23" s="8"/>
      <c r="B23" s="9"/>
      <c r="C23" s="9"/>
      <c r="D23" s="9"/>
      <c r="E23" s="9"/>
      <c r="F23" s="9"/>
      <c r="G23" s="9"/>
      <c r="H23" s="9"/>
      <c r="I23" s="9"/>
    </row>
    <row r="24" spans="1:9">
      <c r="A24" s="8"/>
      <c r="B24" s="9"/>
      <c r="C24" s="9"/>
      <c r="D24" s="9"/>
      <c r="E24" s="9"/>
      <c r="F24" s="9"/>
      <c r="G24" s="9"/>
      <c r="H24" s="9"/>
      <c r="I24" s="9"/>
    </row>
    <row r="25" spans="1:9">
      <c r="A25" s="8"/>
      <c r="B25" s="9"/>
      <c r="C25" s="9"/>
      <c r="D25" s="9"/>
      <c r="E25" s="9"/>
      <c r="F25" s="9"/>
      <c r="G25" s="9"/>
      <c r="H25" s="9"/>
      <c r="I25" s="9"/>
    </row>
    <row r="26" spans="1:9">
      <c r="A26" s="8"/>
      <c r="B26" s="9"/>
      <c r="C26" s="9"/>
      <c r="D26" s="9"/>
      <c r="E26" s="9"/>
      <c r="F26" s="9"/>
      <c r="G26" s="9"/>
      <c r="H26" s="9"/>
      <c r="I26" s="9"/>
    </row>
    <row r="27" spans="1:9">
      <c r="A27" s="8"/>
      <c r="B27" s="9"/>
      <c r="C27" s="9"/>
      <c r="D27" s="9"/>
      <c r="E27" s="9"/>
      <c r="F27" s="9"/>
      <c r="G27" s="9"/>
      <c r="H27" s="9"/>
      <c r="I27" s="9"/>
    </row>
    <row r="28" spans="1:9">
      <c r="A28" s="8"/>
      <c r="B28" s="9"/>
      <c r="C28" s="9"/>
      <c r="D28" s="9"/>
      <c r="E28" s="9"/>
      <c r="F28" s="9"/>
      <c r="G28" s="9"/>
      <c r="H28" s="9"/>
      <c r="I28" s="9"/>
    </row>
    <row r="29" spans="1:9">
      <c r="A29" s="467" t="s">
        <v>0</v>
      </c>
      <c r="B29" s="468"/>
      <c r="C29" s="468"/>
      <c r="D29" s="468"/>
      <c r="E29" s="468"/>
      <c r="F29" s="468"/>
      <c r="G29" s="468"/>
      <c r="H29" s="468"/>
      <c r="I29" s="468"/>
    </row>
    <row r="34" spans="1:9">
      <c r="A34" s="469"/>
      <c r="B34" s="469"/>
      <c r="C34" s="469"/>
      <c r="D34" s="469"/>
      <c r="E34" s="469"/>
      <c r="F34" s="469"/>
      <c r="G34" s="469"/>
      <c r="H34" s="469"/>
      <c r="I34" s="469"/>
    </row>
    <row r="35" spans="1:9">
      <c r="A35" s="469"/>
      <c r="B35" s="469"/>
      <c r="C35" s="469"/>
      <c r="D35" s="469"/>
      <c r="E35" s="469"/>
      <c r="F35" s="469"/>
      <c r="G35" s="469"/>
      <c r="H35" s="469"/>
      <c r="I35" s="469"/>
    </row>
    <row r="36" spans="1:9">
      <c r="A36" s="469"/>
      <c r="B36" s="469"/>
      <c r="C36" s="469"/>
      <c r="D36" s="469"/>
      <c r="E36" s="469"/>
      <c r="F36" s="469"/>
      <c r="G36" s="469"/>
      <c r="H36" s="469"/>
      <c r="I36" s="469"/>
    </row>
    <row r="37" spans="1:9">
      <c r="A37" s="469"/>
      <c r="B37" s="469"/>
      <c r="C37" s="469"/>
      <c r="D37" s="469"/>
      <c r="E37" s="469"/>
      <c r="F37" s="469"/>
      <c r="G37" s="469"/>
      <c r="H37" s="469"/>
      <c r="I37" s="469"/>
    </row>
  </sheetData>
  <mergeCells count="10">
    <mergeCell ref="A16:I16"/>
    <mergeCell ref="A17:I17"/>
    <mergeCell ref="A29:I29"/>
    <mergeCell ref="A34:I37"/>
    <mergeCell ref="A1:I1"/>
    <mergeCell ref="E5:M5"/>
    <mergeCell ref="A7:I7"/>
    <mergeCell ref="E8:M8"/>
    <mergeCell ref="A9:I9"/>
    <mergeCell ref="A15:I15"/>
  </mergeCells>
  <pageMargins left="0.25" right="0.25"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7977D-79F8-4597-B6CD-EDBA2BDD7D4C}">
  <sheetPr>
    <tabColor rgb="FF92D050"/>
  </sheetPr>
  <dimension ref="A1:K33"/>
  <sheetViews>
    <sheetView view="pageBreakPreview" zoomScale="70" zoomScaleNormal="80" zoomScaleSheetLayoutView="70" workbookViewId="0">
      <selection activeCell="H45" sqref="H45"/>
    </sheetView>
  </sheetViews>
  <sheetFormatPr defaultRowHeight="14.5"/>
  <cols>
    <col min="1" max="1" width="51.7265625" customWidth="1"/>
    <col min="2" max="2" width="10.81640625" bestFit="1" customWidth="1"/>
    <col min="3" max="3" width="20.54296875" customWidth="1"/>
    <col min="4" max="4" width="21.7265625" customWidth="1"/>
    <col min="5" max="5" width="24.1796875" customWidth="1"/>
    <col min="6" max="6" width="22.26953125" customWidth="1"/>
    <col min="7" max="7" width="23.81640625" customWidth="1"/>
    <col min="8" max="8" width="22.7265625" customWidth="1"/>
    <col min="9" max="9" width="15" customWidth="1"/>
    <col min="10" max="10" width="14.1796875" bestFit="1" customWidth="1"/>
  </cols>
  <sheetData>
    <row r="1" spans="1:11" ht="25.5">
      <c r="A1" s="23" t="s">
        <v>1</v>
      </c>
      <c r="B1" s="12"/>
      <c r="C1" s="12"/>
      <c r="D1" s="12"/>
      <c r="E1" s="12"/>
      <c r="F1" s="12"/>
      <c r="G1" s="12"/>
      <c r="H1" s="12"/>
      <c r="I1" s="12"/>
      <c r="J1" s="12"/>
      <c r="K1" s="12"/>
    </row>
    <row r="2" spans="1:11" ht="17.5">
      <c r="A2" s="24" t="s">
        <v>9</v>
      </c>
      <c r="B2" s="12"/>
      <c r="C2" s="12"/>
      <c r="D2" s="12"/>
      <c r="E2" s="12"/>
      <c r="F2" s="12"/>
      <c r="G2" s="12"/>
      <c r="H2" s="12"/>
      <c r="I2" s="12"/>
      <c r="J2" s="12"/>
      <c r="K2" s="12"/>
    </row>
    <row r="3" spans="1:11" ht="17">
      <c r="A3" s="25" t="s">
        <v>452</v>
      </c>
      <c r="B3" s="12"/>
      <c r="C3" s="12"/>
      <c r="D3" s="12"/>
      <c r="E3" s="12"/>
      <c r="F3" s="12"/>
      <c r="G3" s="12"/>
      <c r="H3" s="12"/>
      <c r="I3" s="12"/>
      <c r="J3" s="12"/>
      <c r="K3" s="12"/>
    </row>
    <row r="4" spans="1:11" ht="17">
      <c r="A4" s="25"/>
      <c r="B4" s="12"/>
      <c r="C4" s="12"/>
      <c r="D4" s="12"/>
      <c r="E4" s="12"/>
      <c r="F4" s="12"/>
      <c r="G4" s="12"/>
      <c r="H4" s="12"/>
      <c r="I4" s="12"/>
      <c r="J4" s="12"/>
      <c r="K4" s="12"/>
    </row>
    <row r="5" spans="1:11" ht="17.5" thickBot="1">
      <c r="A5" s="12"/>
      <c r="B5" s="12"/>
      <c r="C5" s="12"/>
      <c r="D5" s="12"/>
      <c r="E5" s="12"/>
      <c r="F5" s="26" t="s">
        <v>0</v>
      </c>
      <c r="G5" s="26"/>
      <c r="H5" s="12"/>
      <c r="I5" s="12"/>
      <c r="J5" s="12"/>
      <c r="K5" s="12"/>
    </row>
    <row r="6" spans="1:11" ht="21.5" thickBot="1">
      <c r="A6" s="280" t="str">
        <f>+'S&amp;D'!A12</f>
        <v>Water Utility Companies (Private)</v>
      </c>
      <c r="B6" s="207"/>
      <c r="C6" s="12"/>
      <c r="D6" s="28"/>
      <c r="E6" s="28"/>
      <c r="F6" s="28"/>
      <c r="G6" s="12"/>
      <c r="H6" s="12"/>
      <c r="I6" s="12"/>
      <c r="J6" s="12"/>
      <c r="K6" s="12"/>
    </row>
    <row r="7" spans="1:11" ht="25.5">
      <c r="A7" s="30"/>
      <c r="B7" s="12"/>
      <c r="C7" s="12"/>
      <c r="D7" s="12"/>
      <c r="E7" s="31" t="s">
        <v>191</v>
      </c>
      <c r="F7" s="12"/>
      <c r="G7" s="12"/>
      <c r="H7" s="12"/>
      <c r="I7" s="12"/>
      <c r="J7" s="12"/>
      <c r="K7" s="12"/>
    </row>
    <row r="8" spans="1:11" ht="17.5" thickBot="1">
      <c r="A8" s="40" t="s">
        <v>0</v>
      </c>
      <c r="B8" s="40" t="s">
        <v>0</v>
      </c>
      <c r="C8" s="40" t="s">
        <v>0</v>
      </c>
      <c r="D8" s="33" t="s">
        <v>0</v>
      </c>
      <c r="E8" s="32" t="s">
        <v>453</v>
      </c>
      <c r="F8" s="33" t="s">
        <v>0</v>
      </c>
      <c r="G8" s="40"/>
      <c r="H8" s="40" t="s">
        <v>0</v>
      </c>
      <c r="I8" s="40" t="s">
        <v>0</v>
      </c>
      <c r="J8" s="12"/>
      <c r="K8" s="12"/>
    </row>
    <row r="9" spans="1:11" ht="17">
      <c r="A9" s="40"/>
      <c r="B9" s="40"/>
      <c r="H9" s="40"/>
      <c r="I9" s="40"/>
      <c r="J9" s="12"/>
      <c r="K9" s="12"/>
    </row>
    <row r="10" spans="1:11" ht="17">
      <c r="A10" s="40"/>
      <c r="B10" s="40"/>
      <c r="E10" s="13" t="s">
        <v>0</v>
      </c>
      <c r="H10" s="40"/>
      <c r="I10" s="40"/>
      <c r="J10" s="12"/>
      <c r="K10" s="12"/>
    </row>
    <row r="11" spans="1:11" ht="17">
      <c r="A11" s="40"/>
      <c r="B11" s="40"/>
      <c r="H11" s="40"/>
      <c r="I11" s="40"/>
      <c r="J11" s="12"/>
      <c r="K11" s="12"/>
    </row>
    <row r="12" spans="1:11" ht="17.5" thickBot="1">
      <c r="A12" s="33"/>
      <c r="B12" s="33"/>
      <c r="C12" s="158"/>
      <c r="D12" s="158"/>
      <c r="E12" s="158"/>
      <c r="F12" s="158"/>
      <c r="G12" s="158"/>
      <c r="H12" s="33"/>
      <c r="I12" s="33"/>
      <c r="J12" s="28"/>
      <c r="K12" s="12"/>
    </row>
    <row r="13" spans="1:11" ht="11.25" customHeight="1" thickBot="1">
      <c r="A13" s="33" t="s">
        <v>24</v>
      </c>
      <c r="B13" s="33" t="s">
        <v>88</v>
      </c>
      <c r="C13" s="33" t="s">
        <v>89</v>
      </c>
      <c r="D13" s="41" t="s">
        <v>90</v>
      </c>
      <c r="E13" s="33" t="s">
        <v>91</v>
      </c>
      <c r="F13" s="33" t="s">
        <v>92</v>
      </c>
      <c r="G13" s="33" t="s">
        <v>93</v>
      </c>
      <c r="H13" s="33" t="s">
        <v>94</v>
      </c>
      <c r="I13" s="33" t="s">
        <v>95</v>
      </c>
      <c r="J13" s="33" t="s">
        <v>96</v>
      </c>
      <c r="K13" s="12"/>
    </row>
    <row r="14" spans="1:11" ht="17">
      <c r="A14" s="34" t="s">
        <v>0</v>
      </c>
      <c r="B14" s="34" t="s">
        <v>3</v>
      </c>
      <c r="C14" s="34" t="s">
        <v>83</v>
      </c>
      <c r="D14" s="34" t="s">
        <v>116</v>
      </c>
      <c r="E14" s="34" t="s">
        <v>117</v>
      </c>
      <c r="F14" s="34" t="s">
        <v>116</v>
      </c>
      <c r="G14" s="34" t="s">
        <v>117</v>
      </c>
      <c r="H14" s="34" t="s">
        <v>19</v>
      </c>
      <c r="I14" s="34" t="s">
        <v>118</v>
      </c>
      <c r="J14" s="34" t="s">
        <v>130</v>
      </c>
      <c r="K14" s="12"/>
    </row>
    <row r="15" spans="1:11" ht="17.5" thickBot="1">
      <c r="A15" s="36" t="s">
        <v>2</v>
      </c>
      <c r="B15" s="36" t="s">
        <v>4</v>
      </c>
      <c r="C15" s="36" t="s">
        <v>115</v>
      </c>
      <c r="D15" s="36" t="s">
        <v>82</v>
      </c>
      <c r="E15" s="36" t="s">
        <v>82</v>
      </c>
      <c r="F15" s="36" t="s">
        <v>83</v>
      </c>
      <c r="G15" s="36" t="s">
        <v>83</v>
      </c>
      <c r="H15" s="36" t="s">
        <v>116</v>
      </c>
      <c r="I15" s="36" t="s">
        <v>119</v>
      </c>
      <c r="J15" s="36" t="s">
        <v>129</v>
      </c>
      <c r="K15" s="12"/>
    </row>
    <row r="16" spans="1:11" ht="17">
      <c r="A16" s="42" t="s">
        <v>7</v>
      </c>
      <c r="B16" s="42" t="s">
        <v>7</v>
      </c>
      <c r="C16" s="42" t="s">
        <v>132</v>
      </c>
      <c r="D16" s="42" t="s">
        <v>132</v>
      </c>
      <c r="E16" s="42" t="s">
        <v>132</v>
      </c>
      <c r="F16" s="42" t="s">
        <v>132</v>
      </c>
      <c r="G16" s="42" t="s">
        <v>132</v>
      </c>
      <c r="H16" s="42" t="s">
        <v>121</v>
      </c>
      <c r="I16" s="42" t="s">
        <v>120</v>
      </c>
      <c r="J16" s="42" t="s">
        <v>98</v>
      </c>
      <c r="K16" s="12"/>
    </row>
    <row r="17" spans="1:11" ht="17">
      <c r="A17" s="34"/>
      <c r="B17" s="34"/>
      <c r="C17" s="34"/>
      <c r="D17" s="34"/>
      <c r="E17" s="34"/>
      <c r="F17" s="34"/>
      <c r="G17" s="34"/>
      <c r="H17" s="34"/>
      <c r="I17" s="34"/>
      <c r="J17" s="34"/>
      <c r="K17" s="12"/>
    </row>
    <row r="18" spans="1:11" ht="17">
      <c r="A18" s="12"/>
      <c r="B18" s="12"/>
      <c r="C18" s="12"/>
      <c r="D18" s="12"/>
      <c r="E18" s="12"/>
      <c r="F18" s="12"/>
      <c r="G18" s="12"/>
      <c r="H18" s="12"/>
      <c r="I18" s="12"/>
      <c r="J18" s="12"/>
      <c r="K18" s="12"/>
    </row>
    <row r="19" spans="1:11" ht="17.5">
      <c r="A19" s="62" t="str">
        <f>+'S&amp;D'!A22</f>
        <v>American States Water Company</v>
      </c>
      <c r="B19" s="91" t="str">
        <f>+'S&amp;D'!B22</f>
        <v>AWR</v>
      </c>
      <c r="C19" s="338">
        <v>42762000</v>
      </c>
      <c r="D19" s="357">
        <v>420923529.69999999</v>
      </c>
      <c r="E19" s="323">
        <v>446946000</v>
      </c>
      <c r="F19" s="140">
        <f>+'S&amp;D'!G37</f>
        <v>553198777.14935052</v>
      </c>
      <c r="G19" s="140">
        <f>+'S&amp;D'!J22</f>
        <v>575908000</v>
      </c>
      <c r="H19" s="195">
        <f>(D19+F19)/2</f>
        <v>487061153.42467523</v>
      </c>
      <c r="I19" s="65">
        <f>C19/H19</f>
        <v>8.7795956830733393E-2</v>
      </c>
      <c r="J19" s="45">
        <f>F19/G19</f>
        <v>0.96056796771246544</v>
      </c>
      <c r="K19" s="12"/>
    </row>
    <row r="20" spans="1:11" ht="17.5">
      <c r="A20" s="62" t="str">
        <f>+'S&amp;D'!A23</f>
        <v>American Water Works Company Inc</v>
      </c>
      <c r="B20" s="91" t="str">
        <f>+'S&amp;D'!B23</f>
        <v>AWK</v>
      </c>
      <c r="C20" s="338">
        <v>460000000</v>
      </c>
      <c r="D20" s="357">
        <v>10077696975</v>
      </c>
      <c r="E20" s="355">
        <v>11210000000</v>
      </c>
      <c r="F20" s="140">
        <f>+'S&amp;D'!G38</f>
        <v>11376000000</v>
      </c>
      <c r="G20" s="140">
        <f>+'S&amp;D'!J23</f>
        <v>12190000000</v>
      </c>
      <c r="H20" s="195">
        <f t="shared" ref="H20:H24" si="0">(D20+F20)/2</f>
        <v>10726848487.5</v>
      </c>
      <c r="I20" s="65">
        <f t="shared" ref="I20:I24" si="1">C20/H20</f>
        <v>4.2883051861507891E-2</v>
      </c>
      <c r="J20" s="45">
        <f t="shared" ref="J20:J24" si="2">F20/G20</f>
        <v>0.93322395406070546</v>
      </c>
      <c r="K20" s="12"/>
    </row>
    <row r="21" spans="1:11" ht="17.5">
      <c r="A21" s="62" t="str">
        <f>+'S&amp;D'!A24</f>
        <v xml:space="preserve">California Water Service Group </v>
      </c>
      <c r="B21" s="91" t="str">
        <f>+'S&amp;D'!B24</f>
        <v>CWT</v>
      </c>
      <c r="C21" s="338">
        <v>49819000</v>
      </c>
      <c r="D21" s="357">
        <v>977227000</v>
      </c>
      <c r="E21" s="323">
        <v>1055797000</v>
      </c>
      <c r="F21" s="140">
        <f>+'S&amp;D'!G39</f>
        <v>965444000</v>
      </c>
      <c r="G21" s="140">
        <f>+'S&amp;D'!J24</f>
        <v>1053440000</v>
      </c>
      <c r="H21" s="195">
        <f t="shared" si="0"/>
        <v>971335500</v>
      </c>
      <c r="I21" s="65">
        <f t="shared" si="1"/>
        <v>5.1289178661749722E-2</v>
      </c>
      <c r="J21" s="45">
        <f t="shared" si="2"/>
        <v>0.91646795261239367</v>
      </c>
      <c r="K21" s="12"/>
    </row>
    <row r="22" spans="1:11" ht="17.5">
      <c r="A22" s="62" t="str">
        <f>+'S&amp;D'!A25</f>
        <v>Essential Utilities, Inc.</v>
      </c>
      <c r="B22" s="91" t="str">
        <f>+'S&amp;D'!B25</f>
        <v>WTRG</v>
      </c>
      <c r="C22" s="338">
        <v>283362000</v>
      </c>
      <c r="D22" s="357">
        <v>5528131000</v>
      </c>
      <c r="E22" s="356">
        <v>6617395000</v>
      </c>
      <c r="F22" s="140">
        <f>+'S&amp;D'!G40</f>
        <v>5980721137.9771919</v>
      </c>
      <c r="G22" s="140">
        <f>+'S&amp;D'!J25</f>
        <v>6938008000</v>
      </c>
      <c r="H22" s="195">
        <f t="shared" si="0"/>
        <v>5754426068.988596</v>
      </c>
      <c r="I22" s="65">
        <f t="shared" si="1"/>
        <v>4.9242443399712323E-2</v>
      </c>
      <c r="J22" s="45">
        <f t="shared" si="2"/>
        <v>0.86202280798425024</v>
      </c>
      <c r="K22" s="12"/>
    </row>
    <row r="23" spans="1:11" ht="17.5">
      <c r="A23" s="62" t="str">
        <f>+'S&amp;D'!A26</f>
        <v>Middlesex Water Company</v>
      </c>
      <c r="B23" s="91" t="str">
        <f>+'S&amp;D'!B26</f>
        <v>MSEX</v>
      </c>
      <c r="C23" s="338">
        <v>13143000</v>
      </c>
      <c r="D23" s="357">
        <v>289952732</v>
      </c>
      <c r="E23" s="10">
        <v>307742000</v>
      </c>
      <c r="F23" s="140">
        <f>+'S&amp;D'!G41</f>
        <v>361424065.29758424</v>
      </c>
      <c r="G23" s="140">
        <f>+'S&amp;D'!J26</f>
        <v>365893000</v>
      </c>
      <c r="H23" s="195">
        <f t="shared" si="0"/>
        <v>325688398.64879215</v>
      </c>
      <c r="I23" s="65">
        <f t="shared" si="1"/>
        <v>4.0354523079505898E-2</v>
      </c>
      <c r="J23" s="45">
        <f t="shared" si="2"/>
        <v>0.98778622520131365</v>
      </c>
      <c r="K23" s="12"/>
    </row>
    <row r="24" spans="1:11" ht="17.5">
      <c r="A24" s="62" t="str">
        <f>+'S&amp;D'!A27</f>
        <v>SJW Corporation</v>
      </c>
      <c r="B24" s="91" t="str">
        <f>+'S&amp;D'!B27</f>
        <v>SJW</v>
      </c>
      <c r="C24" s="338">
        <v>66144000</v>
      </c>
      <c r="D24" s="357">
        <v>1294354000</v>
      </c>
      <c r="E24" s="323">
        <v>1496325000</v>
      </c>
      <c r="F24" s="140">
        <f>+'S&amp;D'!G42</f>
        <v>1394412000</v>
      </c>
      <c r="G24" s="140">
        <f>+'S&amp;D'!J27</f>
        <v>1575674000</v>
      </c>
      <c r="H24" s="195">
        <f t="shared" si="0"/>
        <v>1344383000</v>
      </c>
      <c r="I24" s="65">
        <f t="shared" si="1"/>
        <v>4.9200265103024957E-2</v>
      </c>
      <c r="J24" s="45">
        <f t="shared" si="2"/>
        <v>0.88496224472828766</v>
      </c>
      <c r="K24" s="12"/>
    </row>
    <row r="25" spans="1:11" ht="17.5" thickBot="1">
      <c r="A25" s="12"/>
      <c r="B25" s="12"/>
      <c r="C25" s="46"/>
      <c r="D25" s="46"/>
      <c r="E25" s="46"/>
      <c r="F25" s="46"/>
      <c r="G25" s="46" t="s">
        <v>44</v>
      </c>
      <c r="H25" s="46"/>
      <c r="I25" s="46" t="s">
        <v>44</v>
      </c>
      <c r="J25" s="46"/>
      <c r="K25" s="12"/>
    </row>
    <row r="26" spans="1:11" ht="17.5" thickTop="1">
      <c r="A26" s="12"/>
      <c r="B26" s="12"/>
      <c r="C26" s="47" t="s">
        <v>0</v>
      </c>
      <c r="D26" s="47" t="s">
        <v>0</v>
      </c>
      <c r="E26" s="34" t="s">
        <v>0</v>
      </c>
      <c r="F26" s="34"/>
      <c r="G26" s="47" t="s">
        <v>0</v>
      </c>
      <c r="H26" s="14" t="s">
        <v>45</v>
      </c>
      <c r="I26" s="335">
        <f>MAX(I19:I24)</f>
        <v>8.7795956830733393E-2</v>
      </c>
      <c r="J26" s="337">
        <f>MAX(J19:J24)</f>
        <v>0.98778622520131365</v>
      </c>
      <c r="K26" s="12"/>
    </row>
    <row r="27" spans="1:11" ht="17">
      <c r="A27" s="196" t="s">
        <v>71</v>
      </c>
      <c r="B27" s="12"/>
      <c r="C27" s="47"/>
      <c r="D27" s="47"/>
      <c r="E27" s="34"/>
      <c r="F27" s="34"/>
      <c r="G27" s="47"/>
      <c r="H27" s="14" t="s">
        <v>46</v>
      </c>
      <c r="I27" s="336">
        <f>MIN(I19:I24)</f>
        <v>4.0354523079505898E-2</v>
      </c>
      <c r="J27" s="401">
        <f>MIN(J19:J24)</f>
        <v>0.86202280798425024</v>
      </c>
      <c r="K27" s="12"/>
    </row>
    <row r="28" spans="1:11" ht="17">
      <c r="A28" s="197" t="s">
        <v>268</v>
      </c>
      <c r="B28" s="12"/>
      <c r="C28" s="12"/>
      <c r="D28" s="12"/>
      <c r="E28" s="12"/>
      <c r="F28" s="12"/>
      <c r="G28" s="12"/>
      <c r="H28" s="14" t="s">
        <v>18</v>
      </c>
      <c r="I28" s="55">
        <f>MEDIAN(I19:I24)</f>
        <v>4.9221354251368643E-2</v>
      </c>
      <c r="J28" s="48">
        <f>MEDIAN(J19:J24)</f>
        <v>0.92484595333654962</v>
      </c>
      <c r="K28" s="12"/>
    </row>
    <row r="29" spans="1:11" ht="17">
      <c r="A29" s="197" t="s">
        <v>237</v>
      </c>
      <c r="B29" s="12"/>
      <c r="C29" s="12"/>
      <c r="D29" s="12"/>
      <c r="E29" s="12"/>
      <c r="F29" s="12"/>
      <c r="G29" s="12"/>
      <c r="H29" s="14" t="s">
        <v>409</v>
      </c>
      <c r="I29" s="55">
        <f>AVERAGE(I19:I24)</f>
        <v>5.3460903156039026E-2</v>
      </c>
      <c r="J29" s="48">
        <f>AVERAGE(J19:J24)</f>
        <v>0.92417185871656926</v>
      </c>
      <c r="K29" s="12"/>
    </row>
    <row r="30" spans="1:11" ht="17.5" thickBot="1">
      <c r="A30" s="12"/>
      <c r="B30" s="12"/>
      <c r="C30" s="12"/>
      <c r="D30" s="12"/>
      <c r="E30" s="12"/>
      <c r="F30" s="12"/>
      <c r="G30" s="12"/>
      <c r="H30" s="12"/>
      <c r="I30" s="12"/>
      <c r="J30" s="13"/>
      <c r="K30" s="12"/>
    </row>
    <row r="31" spans="1:11" ht="26" thickBot="1">
      <c r="A31" s="12"/>
      <c r="B31" s="12"/>
      <c r="C31" s="12"/>
      <c r="D31" s="12"/>
      <c r="E31" s="12"/>
      <c r="F31" s="12"/>
      <c r="G31" s="200"/>
      <c r="H31" s="201" t="s">
        <v>243</v>
      </c>
      <c r="I31" s="202">
        <v>5.3499999999999999E-2</v>
      </c>
      <c r="J31" s="351">
        <v>9.2420000000000002E-3</v>
      </c>
      <c r="K31" s="12"/>
    </row>
    <row r="32" spans="1:11" ht="17">
      <c r="A32" s="12"/>
      <c r="B32" s="12"/>
      <c r="C32" s="12"/>
      <c r="D32" s="12"/>
      <c r="E32" s="12"/>
      <c r="F32" s="12"/>
      <c r="G32" s="12"/>
      <c r="H32" s="12"/>
      <c r="I32" s="12"/>
      <c r="J32" s="12"/>
      <c r="K32" s="12"/>
    </row>
    <row r="33" spans="1:11" ht="17">
      <c r="A33" s="12"/>
      <c r="B33" s="12"/>
      <c r="C33" s="12"/>
      <c r="D33" s="12"/>
      <c r="E33" s="12"/>
      <c r="F33" s="12"/>
      <c r="G33" s="12"/>
      <c r="H33" s="12"/>
      <c r="I33" s="12"/>
      <c r="J33" s="12"/>
      <c r="K33" s="12"/>
    </row>
  </sheetData>
  <pageMargins left="0.25" right="0.25" top="0.75" bottom="0.75" header="0.3" footer="0.3"/>
  <pageSetup scale="56" orientation="landscape"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M58"/>
  <sheetViews>
    <sheetView tabSelected="1" view="pageBreakPreview" topLeftCell="A19" zoomScale="60" zoomScaleNormal="80" workbookViewId="0">
      <selection activeCell="K33" sqref="K33"/>
    </sheetView>
  </sheetViews>
  <sheetFormatPr defaultRowHeight="14.5"/>
  <cols>
    <col min="1" max="1" width="50.453125" customWidth="1"/>
    <col min="2" max="2" width="13.453125" customWidth="1"/>
    <col min="3" max="3" width="19.1796875" bestFit="1" customWidth="1"/>
    <col min="4" max="4" width="20" customWidth="1"/>
    <col min="5" max="5" width="21.81640625" customWidth="1"/>
    <col min="6" max="6" width="16.1796875" customWidth="1"/>
    <col min="7" max="7" width="12.1796875" customWidth="1"/>
    <col min="8" max="8" width="18.54296875" customWidth="1"/>
    <col min="9" max="9" width="19.26953125" customWidth="1"/>
    <col min="10" max="11" width="20.54296875" customWidth="1"/>
    <col min="12" max="12" width="26.54296875" customWidth="1"/>
    <col min="13" max="13" width="6.54296875" customWidth="1"/>
  </cols>
  <sheetData>
    <row r="1" spans="1:13" ht="25.5">
      <c r="A1" s="23" t="s">
        <v>1</v>
      </c>
      <c r="B1" s="12"/>
      <c r="C1" s="12"/>
      <c r="D1" s="12"/>
      <c r="E1" s="12"/>
      <c r="F1" s="12"/>
      <c r="G1" s="12"/>
      <c r="H1" s="12"/>
      <c r="I1" s="12"/>
      <c r="J1" s="12"/>
      <c r="K1" s="12"/>
      <c r="L1" s="12"/>
      <c r="M1" s="12"/>
    </row>
    <row r="2" spans="1:13" ht="17.5">
      <c r="A2" s="24" t="s">
        <v>9</v>
      </c>
      <c r="B2" s="12"/>
      <c r="C2" s="12"/>
      <c r="D2" s="12"/>
      <c r="E2" s="12"/>
      <c r="F2" s="12"/>
      <c r="G2" s="12"/>
      <c r="H2" s="12"/>
      <c r="I2" s="12"/>
      <c r="J2" s="12"/>
      <c r="K2" s="12"/>
      <c r="L2" s="12"/>
      <c r="M2" s="12"/>
    </row>
    <row r="3" spans="1:13" ht="17">
      <c r="A3" s="25" t="s">
        <v>452</v>
      </c>
      <c r="B3" s="12"/>
      <c r="C3" s="12"/>
      <c r="D3" s="12"/>
      <c r="E3" s="12"/>
      <c r="F3" s="12"/>
      <c r="G3" s="12"/>
      <c r="H3" s="12"/>
      <c r="I3" s="12"/>
      <c r="J3" s="12"/>
      <c r="K3" s="12"/>
      <c r="L3" s="12"/>
      <c r="M3" s="12"/>
    </row>
    <row r="4" spans="1:13" ht="17">
      <c r="A4" s="25"/>
      <c r="B4" s="12"/>
      <c r="C4" s="12"/>
      <c r="D4" s="12"/>
      <c r="E4" s="12"/>
      <c r="F4" s="12"/>
      <c r="G4" s="12"/>
      <c r="H4" s="12"/>
      <c r="I4" s="12"/>
      <c r="J4" s="12"/>
      <c r="K4" s="12"/>
      <c r="L4" s="12"/>
      <c r="M4" s="12"/>
    </row>
    <row r="5" spans="1:13" ht="17.5" thickBot="1">
      <c r="A5" s="12"/>
      <c r="B5" s="12"/>
      <c r="C5" s="12"/>
      <c r="D5" s="12"/>
      <c r="E5" s="12"/>
      <c r="F5" s="12"/>
      <c r="G5" s="26"/>
      <c r="H5" s="26"/>
      <c r="I5" s="12"/>
      <c r="J5" s="12"/>
      <c r="K5" s="12"/>
      <c r="L5" s="12"/>
      <c r="M5" s="12"/>
    </row>
    <row r="6" spans="1:13" ht="21.5" thickBot="1">
      <c r="A6" s="280" t="str">
        <f>+'S&amp;D'!A12</f>
        <v>Water Utility Companies (Private)</v>
      </c>
      <c r="B6" s="207"/>
      <c r="C6" s="12"/>
      <c r="D6" s="28"/>
      <c r="E6" s="28"/>
      <c r="F6" s="29" t="s">
        <v>0</v>
      </c>
      <c r="G6" s="12"/>
      <c r="H6" s="12"/>
      <c r="I6" s="12"/>
      <c r="J6" s="12"/>
      <c r="K6" s="12"/>
      <c r="L6" s="12"/>
      <c r="M6" s="12"/>
    </row>
    <row r="7" spans="1:13" ht="25.5">
      <c r="A7" s="30"/>
      <c r="B7" s="12"/>
      <c r="C7" s="12"/>
      <c r="D7" s="12"/>
      <c r="E7" s="31" t="s">
        <v>128</v>
      </c>
      <c r="F7" s="12"/>
      <c r="G7" s="12"/>
      <c r="H7" s="12"/>
      <c r="I7" s="12"/>
      <c r="J7" s="12"/>
      <c r="K7" s="12"/>
      <c r="L7" s="12"/>
      <c r="M7" s="12"/>
    </row>
    <row r="8" spans="1:13" ht="21.5" thickBot="1">
      <c r="A8" s="30"/>
      <c r="B8" s="12"/>
      <c r="C8" s="12"/>
      <c r="D8" s="28"/>
      <c r="E8" s="32" t="s">
        <v>453</v>
      </c>
      <c r="F8" s="28"/>
      <c r="G8" s="12"/>
      <c r="H8" s="12"/>
      <c r="I8" s="12"/>
      <c r="J8" s="12"/>
      <c r="K8" s="12"/>
      <c r="L8" s="12"/>
      <c r="M8" s="12"/>
    </row>
    <row r="9" spans="1:13" ht="17.5" thickBot="1">
      <c r="A9" s="33" t="s">
        <v>0</v>
      </c>
      <c r="B9" s="33" t="s">
        <v>0</v>
      </c>
      <c r="C9" s="33" t="s">
        <v>0</v>
      </c>
      <c r="D9" s="33" t="s">
        <v>0</v>
      </c>
      <c r="E9" s="33" t="s">
        <v>0</v>
      </c>
      <c r="F9" s="33" t="s">
        <v>0</v>
      </c>
      <c r="G9" s="33"/>
      <c r="H9" s="33"/>
      <c r="I9" s="33" t="s">
        <v>0</v>
      </c>
      <c r="J9" s="28"/>
      <c r="L9" s="12"/>
      <c r="M9" s="12"/>
    </row>
    <row r="10" spans="1:13" ht="17">
      <c r="A10" s="34" t="s">
        <v>0</v>
      </c>
      <c r="B10" s="34" t="s">
        <v>3</v>
      </c>
      <c r="C10" s="34" t="s">
        <v>5</v>
      </c>
      <c r="D10" s="34" t="s">
        <v>21</v>
      </c>
      <c r="E10" s="34" t="s">
        <v>20</v>
      </c>
      <c r="F10" s="34" t="s">
        <v>50</v>
      </c>
      <c r="G10" s="34" t="s">
        <v>131</v>
      </c>
      <c r="H10" s="34" t="s">
        <v>47</v>
      </c>
      <c r="I10" s="34" t="s">
        <v>131</v>
      </c>
      <c r="J10" s="34" t="s">
        <v>47</v>
      </c>
      <c r="L10" s="12"/>
      <c r="M10" s="12"/>
    </row>
    <row r="11" spans="1:13" ht="17.5" thickBot="1">
      <c r="A11" s="36" t="s">
        <v>2</v>
      </c>
      <c r="B11" s="36" t="s">
        <v>4</v>
      </c>
      <c r="C11" s="36" t="s">
        <v>6</v>
      </c>
      <c r="D11" s="36" t="s">
        <v>23</v>
      </c>
      <c r="E11" s="36" t="s">
        <v>22</v>
      </c>
      <c r="F11" s="36" t="s">
        <v>48</v>
      </c>
      <c r="G11" s="36" t="s">
        <v>48</v>
      </c>
      <c r="H11" s="36" t="s">
        <v>48</v>
      </c>
      <c r="I11" s="36" t="s">
        <v>48</v>
      </c>
      <c r="J11" s="36" t="s">
        <v>49</v>
      </c>
      <c r="L11" s="12"/>
      <c r="M11" s="12"/>
    </row>
    <row r="12" spans="1:13" ht="17">
      <c r="A12" s="38" t="s">
        <v>7</v>
      </c>
      <c r="B12" s="38" t="s">
        <v>7</v>
      </c>
      <c r="C12" s="38" t="s">
        <v>7</v>
      </c>
      <c r="D12" s="38" t="s">
        <v>7</v>
      </c>
      <c r="E12" s="38" t="s">
        <v>7</v>
      </c>
      <c r="F12" s="38" t="s">
        <v>0</v>
      </c>
      <c r="G12" s="38" t="s">
        <v>0</v>
      </c>
      <c r="H12" s="38" t="s">
        <v>0</v>
      </c>
      <c r="I12" s="38" t="s">
        <v>0</v>
      </c>
      <c r="J12" s="38" t="s">
        <v>0</v>
      </c>
      <c r="L12" s="12"/>
      <c r="M12" s="12"/>
    </row>
    <row r="13" spans="1:13" ht="17">
      <c r="A13" s="34"/>
      <c r="B13" s="34"/>
      <c r="C13" s="34"/>
      <c r="D13" s="34"/>
      <c r="E13" s="34"/>
      <c r="F13" s="34"/>
      <c r="G13" s="34"/>
      <c r="H13" s="34"/>
      <c r="I13" s="34"/>
      <c r="J13" s="34"/>
      <c r="L13" s="12"/>
      <c r="M13" s="12"/>
    </row>
    <row r="14" spans="1:13" ht="17">
      <c r="A14" s="12"/>
      <c r="B14" s="12"/>
      <c r="C14" s="12"/>
      <c r="D14" s="12"/>
      <c r="E14" s="12"/>
      <c r="F14" s="12"/>
      <c r="G14" s="12"/>
      <c r="H14" s="12"/>
      <c r="I14" s="12"/>
      <c r="J14" s="12"/>
      <c r="L14" s="12"/>
      <c r="M14" s="12"/>
    </row>
    <row r="15" spans="1:13" ht="17.5">
      <c r="A15" s="62" t="str">
        <f>+'S&amp;D'!A22</f>
        <v>American States Water Company</v>
      </c>
      <c r="B15" s="91" t="str">
        <f>+'S&amp;D'!B22</f>
        <v>AWR</v>
      </c>
      <c r="C15" s="34" t="str">
        <f>+'S&amp;D'!C22</f>
        <v>Water Utility</v>
      </c>
      <c r="D15" s="53">
        <f>+'Beta for CAPM'!D18</f>
        <v>0.24</v>
      </c>
      <c r="E15" s="34" t="str">
        <f>+'Beta for CAPM'!G18</f>
        <v>A</v>
      </c>
      <c r="F15" s="34" t="s">
        <v>43</v>
      </c>
      <c r="G15" s="307">
        <v>7</v>
      </c>
      <c r="H15" s="350" t="s">
        <v>141</v>
      </c>
      <c r="I15" s="307">
        <v>8</v>
      </c>
      <c r="J15" s="65">
        <v>5.4199999999999998E-2</v>
      </c>
      <c r="L15" s="12"/>
      <c r="M15" s="12"/>
    </row>
    <row r="16" spans="1:13" ht="17.5">
      <c r="A16" s="62" t="str">
        <f>+'S&amp;D'!A23</f>
        <v>American Water Works Company Inc</v>
      </c>
      <c r="B16" s="91" t="str">
        <f>+'S&amp;D'!B23</f>
        <v>AWK</v>
      </c>
      <c r="C16" s="34" t="str">
        <f>+'S&amp;D'!C23</f>
        <v>Water Utility</v>
      </c>
      <c r="D16" s="53">
        <f>+'Beta for CAPM'!D19</f>
        <v>0.21</v>
      </c>
      <c r="E16" s="34" t="str">
        <f>+'Beta for CAPM'!G19</f>
        <v>B++</v>
      </c>
      <c r="F16" s="34" t="s">
        <v>24</v>
      </c>
      <c r="G16" s="307">
        <v>8</v>
      </c>
      <c r="H16" s="61" t="s">
        <v>52</v>
      </c>
      <c r="I16" s="307">
        <v>10</v>
      </c>
      <c r="J16" s="65">
        <v>5.6800000000000003E-2</v>
      </c>
      <c r="L16" s="12"/>
      <c r="M16" s="12"/>
    </row>
    <row r="17" spans="1:13" ht="17.5">
      <c r="A17" s="62" t="str">
        <f>+'S&amp;D'!A24</f>
        <v xml:space="preserve">California Water Service Group </v>
      </c>
      <c r="B17" s="91" t="str">
        <f>+'S&amp;D'!B24</f>
        <v>CWT</v>
      </c>
      <c r="C17" s="34" t="str">
        <f>+'S&amp;D'!C24</f>
        <v>Water Utility</v>
      </c>
      <c r="D17" s="53">
        <f>+'Beta for CAPM'!D20</f>
        <v>0.21</v>
      </c>
      <c r="E17" s="34" t="str">
        <f>+'Beta for CAPM'!G20</f>
        <v>B++</v>
      </c>
      <c r="F17" s="34" t="s">
        <v>43</v>
      </c>
      <c r="G17" s="307">
        <v>7</v>
      </c>
      <c r="H17" s="350" t="s">
        <v>55</v>
      </c>
      <c r="I17" s="307">
        <v>7</v>
      </c>
      <c r="J17" s="65">
        <v>5.4199999999999998E-2</v>
      </c>
      <c r="L17" s="12"/>
      <c r="M17" s="12"/>
    </row>
    <row r="18" spans="1:13" ht="17.5">
      <c r="A18" s="62" t="str">
        <f>+'S&amp;D'!A25</f>
        <v>Essential Utilities, Inc.</v>
      </c>
      <c r="B18" s="91" t="str">
        <f>+'S&amp;D'!B25</f>
        <v>WTRG</v>
      </c>
      <c r="C18" s="34" t="str">
        <f>+'S&amp;D'!C25</f>
        <v>Water Utility</v>
      </c>
      <c r="D18" s="53">
        <f>+'Beta for CAPM'!D21</f>
        <v>0.14000000000000001</v>
      </c>
      <c r="E18" s="34" t="str">
        <f>+'Beta for CAPM'!G21</f>
        <v>B++</v>
      </c>
      <c r="F18" s="34" t="s">
        <v>24</v>
      </c>
      <c r="G18" s="307">
        <v>8</v>
      </c>
      <c r="H18" s="61" t="s">
        <v>53</v>
      </c>
      <c r="I18" s="307">
        <v>11</v>
      </c>
      <c r="J18" s="65">
        <v>5.6800000000000003E-2</v>
      </c>
      <c r="L18" s="12"/>
      <c r="M18" s="12"/>
    </row>
    <row r="19" spans="1:13" ht="17.5">
      <c r="A19" s="62" t="str">
        <f>+'S&amp;D'!A26</f>
        <v>Middlesex Water Company</v>
      </c>
      <c r="B19" s="91" t="str">
        <f>+'S&amp;D'!B26</f>
        <v>MSEX</v>
      </c>
      <c r="C19" s="34" t="str">
        <f>+'S&amp;D'!C26</f>
        <v>Water Utility</v>
      </c>
      <c r="D19" s="53">
        <f>+'Beta for CAPM'!D22</f>
        <v>0.21</v>
      </c>
      <c r="E19" s="34" t="str">
        <f>+'Beta for CAPM'!G22</f>
        <v>B++</v>
      </c>
      <c r="F19" s="34" t="s">
        <v>24</v>
      </c>
      <c r="G19" s="307">
        <v>8</v>
      </c>
      <c r="H19" s="350" t="s">
        <v>141</v>
      </c>
      <c r="I19" s="307">
        <v>8</v>
      </c>
      <c r="J19" s="65">
        <v>5.4199999999999998E-2</v>
      </c>
      <c r="L19" s="12"/>
      <c r="M19" s="12"/>
    </row>
    <row r="20" spans="1:13" ht="17.5">
      <c r="A20" s="62" t="str">
        <f>+'S&amp;D'!A27</f>
        <v>SJW Corporation</v>
      </c>
      <c r="B20" s="91" t="str">
        <f>+'S&amp;D'!B27</f>
        <v>SJW</v>
      </c>
      <c r="C20" s="34" t="str">
        <f>+'S&amp;D'!C27</f>
        <v>Water Utility</v>
      </c>
      <c r="D20" s="53">
        <f>+'Beta for CAPM'!D23</f>
        <v>0.21</v>
      </c>
      <c r="E20" s="34" t="str">
        <f>+'Beta for CAPM'!G23</f>
        <v>B+</v>
      </c>
      <c r="F20" s="34" t="s">
        <v>59</v>
      </c>
      <c r="G20" s="307">
        <v>9</v>
      </c>
      <c r="H20" s="61" t="s">
        <v>57</v>
      </c>
      <c r="I20" s="307">
        <v>9</v>
      </c>
      <c r="J20" s="65">
        <v>5.4199999999999998E-2</v>
      </c>
      <c r="L20" s="12"/>
      <c r="M20" s="12"/>
    </row>
    <row r="21" spans="1:13" ht="17.5" thickBot="1">
      <c r="A21" s="12"/>
      <c r="B21" s="12"/>
      <c r="C21" s="43"/>
      <c r="D21" s="46"/>
      <c r="E21" s="46"/>
      <c r="F21" s="46"/>
      <c r="G21" s="46"/>
      <c r="H21" s="46" t="s">
        <v>44</v>
      </c>
      <c r="I21" s="46"/>
      <c r="J21" s="46"/>
      <c r="L21" s="12"/>
      <c r="M21" s="12"/>
    </row>
    <row r="22" spans="1:13" ht="17.5" thickTop="1">
      <c r="A22" s="12"/>
      <c r="B22" s="12"/>
      <c r="E22" s="14" t="s">
        <v>45</v>
      </c>
      <c r="G22" s="14">
        <f t="shared" ref="G22" si="0">+MAX(G15:G20)</f>
        <v>9</v>
      </c>
      <c r="H22" s="43"/>
      <c r="I22" s="14">
        <f t="shared" ref="I22" si="1">+MAX(I15:I20)</f>
        <v>11</v>
      </c>
      <c r="J22" s="451">
        <f t="shared" ref="J22" si="2">+MAX(J15:J20)</f>
        <v>5.6800000000000003E-2</v>
      </c>
      <c r="L22" s="12"/>
      <c r="M22" s="12"/>
    </row>
    <row r="23" spans="1:13" ht="17">
      <c r="A23" s="12"/>
      <c r="B23" s="12"/>
      <c r="E23" s="14" t="s">
        <v>46</v>
      </c>
      <c r="F23" s="261"/>
      <c r="G23" s="308">
        <f t="shared" ref="G23" si="3">+MIN(G15:G20)</f>
        <v>7</v>
      </c>
      <c r="H23" s="336"/>
      <c r="I23" s="308">
        <f t="shared" ref="I23" si="4">+MIN(I15:I20)</f>
        <v>7</v>
      </c>
      <c r="J23" s="427">
        <f t="shared" ref="J23" si="5">+MIN(J15:J20)</f>
        <v>5.4199999999999998E-2</v>
      </c>
      <c r="L23" s="12"/>
      <c r="M23" s="12"/>
    </row>
    <row r="24" spans="1:13" ht="17">
      <c r="A24" s="12"/>
      <c r="B24" s="12"/>
      <c r="E24" s="14" t="s">
        <v>18</v>
      </c>
      <c r="G24" s="231">
        <f>MEDIAN(G15:G20)</f>
        <v>8</v>
      </c>
      <c r="H24" s="55" t="s">
        <v>0</v>
      </c>
      <c r="I24" s="231">
        <f>MEDIAN(I15:I20)</f>
        <v>8.5</v>
      </c>
      <c r="J24" s="55">
        <f>MEDIAN(J15:J20)</f>
        <v>5.4199999999999998E-2</v>
      </c>
      <c r="L24" s="12"/>
      <c r="M24" s="12"/>
    </row>
    <row r="25" spans="1:13" ht="17">
      <c r="A25" s="12"/>
      <c r="B25" s="12"/>
      <c r="D25" s="14" t="s">
        <v>0</v>
      </c>
      <c r="E25" s="14" t="s">
        <v>409</v>
      </c>
      <c r="G25" s="232">
        <f>AVERAGE(G15:G20)</f>
        <v>7.833333333333333</v>
      </c>
      <c r="H25" s="55" t="s">
        <v>0</v>
      </c>
      <c r="I25" s="232">
        <f>AVERAGE(I15:I20)</f>
        <v>8.8333333333333339</v>
      </c>
      <c r="J25" s="55">
        <f>AVERAGE(J15:J20)</f>
        <v>5.5066666666666673E-2</v>
      </c>
      <c r="L25" s="12"/>
      <c r="M25" s="12"/>
    </row>
    <row r="26" spans="1:13" ht="17">
      <c r="A26" s="12"/>
      <c r="B26" s="12"/>
      <c r="D26" s="56" t="s">
        <v>0</v>
      </c>
      <c r="E26" s="430" t="s">
        <v>410</v>
      </c>
      <c r="G26" s="231">
        <f>HARMEAN(G15:G20)</f>
        <v>7.7737789203084837</v>
      </c>
      <c r="H26" s="55" t="s">
        <v>0</v>
      </c>
      <c r="I26" s="231">
        <f>HARMEAN(I15:I20)</f>
        <v>8.6346173813726512</v>
      </c>
      <c r="J26" s="55">
        <f>HARMEAN(J15:J20)</f>
        <v>5.5039809296781893E-2</v>
      </c>
      <c r="L26" s="12"/>
      <c r="M26" s="12"/>
    </row>
    <row r="27" spans="1:13" ht="17.5" thickBot="1">
      <c r="A27" s="12"/>
      <c r="B27" s="12"/>
      <c r="C27" s="12"/>
      <c r="D27" s="12"/>
      <c r="E27" s="14"/>
      <c r="F27" s="56"/>
      <c r="H27" s="12"/>
      <c r="I27" s="12"/>
      <c r="J27" s="12"/>
      <c r="K27" s="12"/>
      <c r="L27" s="12"/>
      <c r="M27" s="12"/>
    </row>
    <row r="28" spans="1:13" ht="26" thickBot="1">
      <c r="A28" s="12"/>
      <c r="B28" s="12"/>
      <c r="C28" s="12"/>
      <c r="D28" s="12"/>
      <c r="E28" s="12"/>
      <c r="F28" s="200"/>
      <c r="G28" s="349"/>
      <c r="H28" s="201" t="s">
        <v>243</v>
      </c>
      <c r="I28" s="203">
        <v>9</v>
      </c>
      <c r="J28" s="202">
        <v>5.5100000000000003E-2</v>
      </c>
      <c r="K28" s="12"/>
      <c r="L28" s="12"/>
      <c r="M28" s="12"/>
    </row>
    <row r="29" spans="1:13" ht="17">
      <c r="A29" s="12"/>
      <c r="B29" s="12"/>
      <c r="C29" s="12"/>
      <c r="D29" s="12"/>
      <c r="E29" s="12"/>
      <c r="F29" s="12"/>
      <c r="G29" s="12"/>
      <c r="H29" s="12"/>
      <c r="I29" s="12"/>
      <c r="J29" s="12"/>
      <c r="K29" s="12"/>
      <c r="L29" s="12"/>
      <c r="M29" s="12"/>
    </row>
    <row r="30" spans="1:13" ht="17">
      <c r="A30" s="12"/>
      <c r="B30" s="12"/>
      <c r="C30" s="12"/>
      <c r="D30" s="12"/>
      <c r="E30" s="12"/>
      <c r="F30" s="12"/>
      <c r="G30" s="12"/>
      <c r="H30" s="12"/>
      <c r="I30" s="12"/>
      <c r="J30" s="12"/>
      <c r="K30" s="12"/>
      <c r="L30" s="12"/>
      <c r="M30" s="12"/>
    </row>
    <row r="31" spans="1:13" ht="17">
      <c r="A31" s="12"/>
      <c r="B31" s="12"/>
      <c r="C31" s="12"/>
      <c r="D31" s="12"/>
      <c r="E31" s="12"/>
      <c r="F31" s="12"/>
      <c r="G31" s="12"/>
      <c r="H31" s="12"/>
      <c r="I31" s="12"/>
      <c r="J31" s="12"/>
      <c r="K31" s="12"/>
      <c r="L31" s="12"/>
      <c r="M31" s="12"/>
    </row>
    <row r="32" spans="1:13" ht="21.5" thickBot="1">
      <c r="A32" s="296" t="s">
        <v>145</v>
      </c>
      <c r="B32" s="12"/>
      <c r="G32" s="12"/>
      <c r="H32" s="12"/>
      <c r="I32" s="12"/>
      <c r="J32" s="12"/>
      <c r="K32" s="12"/>
      <c r="L32" s="12"/>
      <c r="M32" s="12"/>
    </row>
    <row r="33" spans="1:13" ht="28.5" customHeight="1" thickBot="1">
      <c r="A33" s="462" t="s">
        <v>401</v>
      </c>
      <c r="B33" s="462" t="s">
        <v>352</v>
      </c>
      <c r="C33" s="462" t="s">
        <v>413</v>
      </c>
      <c r="D33" s="477" t="s">
        <v>496</v>
      </c>
      <c r="E33" s="477" t="s">
        <v>497</v>
      </c>
      <c r="F33" s="12"/>
      <c r="G33" s="12"/>
      <c r="H33" s="12"/>
      <c r="I33" s="12"/>
      <c r="M33" s="12"/>
    </row>
    <row r="34" spans="1:13" ht="17.5">
      <c r="A34" s="302" t="s">
        <v>364</v>
      </c>
      <c r="B34" s="306">
        <v>1</v>
      </c>
      <c r="C34" s="303" t="s">
        <v>363</v>
      </c>
      <c r="D34" s="452" t="s">
        <v>0</v>
      </c>
      <c r="E34" s="452" t="s">
        <v>0</v>
      </c>
      <c r="F34" s="12"/>
      <c r="G34" s="12"/>
      <c r="H34" s="12"/>
      <c r="I34" s="12"/>
      <c r="M34" s="12"/>
    </row>
    <row r="35" spans="1:13" ht="17.5">
      <c r="A35" s="57" t="s">
        <v>365</v>
      </c>
      <c r="B35" s="297">
        <v>2</v>
      </c>
      <c r="C35" s="304" t="s">
        <v>337</v>
      </c>
      <c r="D35" s="453">
        <v>4.7399999999999998E-2</v>
      </c>
      <c r="E35" s="453">
        <v>4.7399999999999998E-2</v>
      </c>
      <c r="F35" s="12" t="s">
        <v>197</v>
      </c>
      <c r="H35" s="12"/>
      <c r="I35" s="12"/>
      <c r="M35" s="12"/>
    </row>
    <row r="36" spans="1:13" ht="18" thickBot="1">
      <c r="A36" s="58" t="s">
        <v>366</v>
      </c>
      <c r="B36" s="299">
        <v>3</v>
      </c>
      <c r="C36" s="305" t="s">
        <v>362</v>
      </c>
      <c r="D36" s="454"/>
      <c r="E36" s="454"/>
      <c r="F36" s="12"/>
      <c r="H36" s="12"/>
      <c r="I36" s="12"/>
      <c r="M36" s="12"/>
    </row>
    <row r="37" spans="1:13" ht="17.5">
      <c r="A37" s="57" t="s">
        <v>144</v>
      </c>
      <c r="B37" s="297">
        <v>4</v>
      </c>
      <c r="C37" s="298" t="s">
        <v>336</v>
      </c>
      <c r="D37" s="453"/>
      <c r="E37" s="453"/>
      <c r="F37" s="12"/>
      <c r="H37" s="12"/>
      <c r="I37" s="12"/>
      <c r="M37" s="12"/>
    </row>
    <row r="38" spans="1:13" ht="17.5">
      <c r="A38" s="57" t="s">
        <v>143</v>
      </c>
      <c r="B38" s="297">
        <v>5</v>
      </c>
      <c r="C38" s="298" t="s">
        <v>338</v>
      </c>
      <c r="D38" s="453">
        <v>5.0500000000000003E-2</v>
      </c>
      <c r="E38" s="453">
        <v>5.2699999999999997E-2</v>
      </c>
      <c r="F38" s="12" t="s">
        <v>339</v>
      </c>
      <c r="H38" s="12"/>
      <c r="I38" s="12"/>
      <c r="M38" s="12"/>
    </row>
    <row r="39" spans="1:13" ht="18" thickBot="1">
      <c r="A39" s="58" t="s">
        <v>142</v>
      </c>
      <c r="B39" s="299">
        <v>6</v>
      </c>
      <c r="C39" s="300" t="s">
        <v>340</v>
      </c>
      <c r="D39" s="455" t="s">
        <v>0</v>
      </c>
      <c r="E39" s="455" t="s">
        <v>0</v>
      </c>
      <c r="F39" s="12"/>
      <c r="H39" s="12"/>
      <c r="I39" s="12"/>
      <c r="M39" s="12"/>
    </row>
    <row r="40" spans="1:13" ht="17.5">
      <c r="A40" s="57" t="s">
        <v>55</v>
      </c>
      <c r="B40" s="297">
        <v>7</v>
      </c>
      <c r="C40" s="298" t="s">
        <v>43</v>
      </c>
      <c r="D40" s="456" t="s">
        <v>0</v>
      </c>
      <c r="E40" s="456" t="s">
        <v>0</v>
      </c>
      <c r="H40" s="12"/>
      <c r="I40" s="12"/>
      <c r="M40" s="12"/>
    </row>
    <row r="41" spans="1:13" ht="17.5">
      <c r="A41" s="57" t="s">
        <v>141</v>
      </c>
      <c r="B41" s="297">
        <v>8</v>
      </c>
      <c r="C41" s="298" t="s">
        <v>24</v>
      </c>
      <c r="D41" s="457">
        <v>5.2499999999999998E-2</v>
      </c>
      <c r="E41" s="457">
        <v>5.4199999999999998E-2</v>
      </c>
      <c r="F41" s="12" t="s">
        <v>198</v>
      </c>
      <c r="H41" s="12"/>
      <c r="I41" s="12"/>
      <c r="M41" s="12"/>
    </row>
    <row r="42" spans="1:13" ht="18" thickBot="1">
      <c r="A42" s="58" t="s">
        <v>57</v>
      </c>
      <c r="B42" s="299">
        <v>9</v>
      </c>
      <c r="C42" s="300" t="s">
        <v>59</v>
      </c>
      <c r="D42" s="455"/>
      <c r="E42" s="455"/>
      <c r="F42" s="12"/>
      <c r="H42" s="12"/>
      <c r="I42" s="12"/>
      <c r="M42" s="12"/>
    </row>
    <row r="43" spans="1:13" ht="17.5">
      <c r="A43" s="57" t="s">
        <v>52</v>
      </c>
      <c r="B43" s="297">
        <v>10</v>
      </c>
      <c r="C43" s="298" t="s">
        <v>341</v>
      </c>
      <c r="D43" s="457"/>
      <c r="E43" s="457"/>
      <c r="H43" s="12"/>
      <c r="I43" s="12"/>
      <c r="J43" s="12"/>
      <c r="K43" s="12"/>
      <c r="L43" s="12"/>
      <c r="M43" s="12"/>
    </row>
    <row r="44" spans="1:13" ht="17.5">
      <c r="A44" s="57" t="s">
        <v>53</v>
      </c>
      <c r="B44" s="297">
        <v>11</v>
      </c>
      <c r="C44" s="298" t="s">
        <v>342</v>
      </c>
      <c r="D44" s="457">
        <v>5.6399999999999999E-2</v>
      </c>
      <c r="E44" s="457">
        <v>5.6800000000000003E-2</v>
      </c>
      <c r="F44" s="12" t="s">
        <v>201</v>
      </c>
      <c r="H44" s="12"/>
      <c r="I44" s="12"/>
      <c r="J44" s="12"/>
      <c r="K44" s="12"/>
      <c r="L44" s="12"/>
      <c r="M44" s="12"/>
    </row>
    <row r="45" spans="1:13" ht="18" thickBot="1">
      <c r="A45" s="58" t="s">
        <v>58</v>
      </c>
      <c r="B45" s="299">
        <v>12</v>
      </c>
      <c r="C45" s="300" t="s">
        <v>343</v>
      </c>
      <c r="D45" s="457" t="s">
        <v>0</v>
      </c>
      <c r="E45" s="457" t="s">
        <v>0</v>
      </c>
      <c r="F45" s="12"/>
      <c r="H45" s="12"/>
      <c r="I45" s="12"/>
      <c r="J45" s="12"/>
      <c r="K45" s="12"/>
      <c r="L45" s="12"/>
      <c r="M45" s="12"/>
    </row>
    <row r="46" spans="1:13" ht="17.5">
      <c r="A46" s="57" t="s">
        <v>56</v>
      </c>
      <c r="B46" s="297">
        <v>13</v>
      </c>
      <c r="C46" s="298" t="s">
        <v>344</v>
      </c>
      <c r="D46" s="456" t="s">
        <v>0</v>
      </c>
      <c r="E46" s="456" t="s">
        <v>0</v>
      </c>
      <c r="H46" s="12"/>
      <c r="I46" s="12"/>
      <c r="J46" s="12"/>
      <c r="K46" s="12"/>
      <c r="L46" s="12"/>
      <c r="M46" s="12"/>
    </row>
    <row r="47" spans="1:13" ht="17.5">
      <c r="A47" s="57" t="s">
        <v>140</v>
      </c>
      <c r="B47" s="297">
        <v>14</v>
      </c>
      <c r="C47" s="298" t="s">
        <v>345</v>
      </c>
      <c r="D47" s="453">
        <v>6.8500000000000005E-2</v>
      </c>
      <c r="E47" s="453">
        <v>6.9000000000000006E-2</v>
      </c>
      <c r="F47" s="12" t="s">
        <v>200</v>
      </c>
      <c r="H47" s="12"/>
      <c r="I47" s="12"/>
      <c r="J47" s="12"/>
      <c r="K47" s="12"/>
      <c r="L47" s="12"/>
      <c r="M47" s="12"/>
    </row>
    <row r="48" spans="1:13" ht="18" thickBot="1">
      <c r="A48" s="58" t="s">
        <v>139</v>
      </c>
      <c r="B48" s="299">
        <v>15</v>
      </c>
      <c r="C48" s="300" t="s">
        <v>346</v>
      </c>
      <c r="D48" s="454" t="s">
        <v>0</v>
      </c>
      <c r="E48" s="454" t="s">
        <v>0</v>
      </c>
      <c r="F48" s="12"/>
      <c r="H48" s="12"/>
      <c r="I48" s="12"/>
      <c r="J48" s="12"/>
      <c r="K48" s="12"/>
      <c r="L48" s="12"/>
      <c r="M48" s="12"/>
    </row>
    <row r="49" spans="1:13" ht="17.5">
      <c r="A49" s="57" t="s">
        <v>138</v>
      </c>
      <c r="B49" s="297">
        <v>16</v>
      </c>
      <c r="C49" s="298" t="s">
        <v>25</v>
      </c>
      <c r="D49" s="456"/>
      <c r="E49" s="456"/>
      <c r="H49" s="12"/>
      <c r="I49" s="12"/>
      <c r="J49" s="12"/>
      <c r="K49" s="12"/>
      <c r="L49" s="12"/>
      <c r="M49" s="12"/>
    </row>
    <row r="50" spans="1:13" ht="17.5">
      <c r="A50" s="57" t="s">
        <v>137</v>
      </c>
      <c r="B50" s="297">
        <v>17</v>
      </c>
      <c r="C50" s="298" t="s">
        <v>88</v>
      </c>
      <c r="D50" s="457">
        <v>7.46E-2</v>
      </c>
      <c r="E50" s="457">
        <v>7.6499999999999999E-2</v>
      </c>
      <c r="F50" s="12" t="s">
        <v>199</v>
      </c>
      <c r="H50" s="12"/>
      <c r="I50" s="12"/>
      <c r="J50" s="12"/>
      <c r="K50" s="12"/>
      <c r="L50" s="12"/>
      <c r="M50" s="12"/>
    </row>
    <row r="51" spans="1:13" ht="18" thickBot="1">
      <c r="A51" s="58" t="s">
        <v>136</v>
      </c>
      <c r="B51" s="299">
        <v>18</v>
      </c>
      <c r="C51" s="300" t="s">
        <v>347</v>
      </c>
      <c r="D51" s="454"/>
      <c r="E51" s="454"/>
      <c r="F51" s="12"/>
      <c r="H51" s="12"/>
      <c r="I51" s="12"/>
      <c r="J51" s="12"/>
      <c r="K51" s="12"/>
      <c r="L51" s="12"/>
      <c r="M51" s="12"/>
    </row>
    <row r="52" spans="1:13" ht="17.5">
      <c r="A52" s="57" t="s">
        <v>135</v>
      </c>
      <c r="B52" s="297">
        <v>19</v>
      </c>
      <c r="C52" s="298" t="s">
        <v>348</v>
      </c>
      <c r="D52" s="457"/>
      <c r="E52" s="457"/>
      <c r="H52" s="12"/>
      <c r="I52" s="12"/>
      <c r="J52" s="12"/>
      <c r="K52" s="12"/>
      <c r="L52" s="12"/>
      <c r="M52" s="12"/>
    </row>
    <row r="53" spans="1:13" ht="17.5">
      <c r="A53" s="57" t="s">
        <v>134</v>
      </c>
      <c r="B53" s="297">
        <v>20</v>
      </c>
      <c r="C53" s="298" t="s">
        <v>349</v>
      </c>
      <c r="D53" s="457">
        <v>8.0699999999999994E-2</v>
      </c>
      <c r="E53" s="457">
        <v>8.2799999999999999E-2</v>
      </c>
      <c r="F53" s="12" t="s">
        <v>196</v>
      </c>
      <c r="H53" s="12"/>
      <c r="I53" s="12"/>
      <c r="J53" s="12"/>
      <c r="K53" s="12"/>
      <c r="L53" s="12"/>
      <c r="M53" s="12"/>
    </row>
    <row r="54" spans="1:13" ht="18" thickBot="1">
      <c r="A54" s="58" t="s">
        <v>133</v>
      </c>
      <c r="B54" s="299">
        <v>21</v>
      </c>
      <c r="C54" s="407" t="s">
        <v>350</v>
      </c>
      <c r="D54" s="455"/>
      <c r="E54" s="455"/>
      <c r="F54" s="12"/>
      <c r="H54" s="12"/>
      <c r="I54" s="12"/>
      <c r="J54" s="12"/>
      <c r="K54" s="12"/>
      <c r="L54" s="12"/>
      <c r="M54" s="12"/>
    </row>
    <row r="55" spans="1:13" ht="17.5">
      <c r="A55" s="406" t="s">
        <v>357</v>
      </c>
      <c r="B55" s="306">
        <v>22</v>
      </c>
      <c r="C55" s="409" t="s">
        <v>360</v>
      </c>
      <c r="D55" s="458"/>
      <c r="E55" s="458"/>
      <c r="H55" s="12"/>
      <c r="I55" s="12"/>
      <c r="J55" s="12"/>
      <c r="K55" s="12"/>
      <c r="L55" s="12"/>
      <c r="M55" s="12"/>
    </row>
    <row r="56" spans="1:13" ht="17.5">
      <c r="A56" s="406" t="s">
        <v>358</v>
      </c>
      <c r="B56" s="297">
        <v>23</v>
      </c>
      <c r="C56" s="410" t="s">
        <v>351</v>
      </c>
      <c r="D56" s="459"/>
      <c r="E56" s="459"/>
      <c r="F56" s="12" t="s">
        <v>194</v>
      </c>
      <c r="H56" s="12"/>
      <c r="I56" s="12"/>
      <c r="J56" s="12"/>
      <c r="K56" s="12"/>
      <c r="L56" s="12"/>
      <c r="M56" s="12"/>
    </row>
    <row r="57" spans="1:13" ht="18" thickBot="1">
      <c r="A57" s="408" t="s">
        <v>359</v>
      </c>
      <c r="B57" s="299">
        <v>24</v>
      </c>
      <c r="C57" s="407" t="s">
        <v>361</v>
      </c>
      <c r="D57" s="460"/>
      <c r="E57" s="460"/>
      <c r="F57" s="12"/>
      <c r="H57" s="12"/>
      <c r="I57" s="12"/>
      <c r="J57" s="12"/>
      <c r="K57" s="12"/>
      <c r="L57" s="12"/>
      <c r="M57" s="12"/>
    </row>
    <row r="58" spans="1:13" ht="18" thickBot="1">
      <c r="A58" s="58" t="s">
        <v>269</v>
      </c>
      <c r="B58" s="299">
        <v>25</v>
      </c>
      <c r="C58" s="58" t="s">
        <v>89</v>
      </c>
      <c r="D58" s="461"/>
      <c r="E58" s="461"/>
      <c r="F58" s="12" t="s">
        <v>195</v>
      </c>
      <c r="H58" s="12"/>
      <c r="I58" s="12"/>
      <c r="J58" s="12"/>
      <c r="K58" s="12"/>
      <c r="L58" s="12"/>
    </row>
  </sheetData>
  <pageMargins left="0.25" right="0.25" top="0.75" bottom="0.75" header="0.3" footer="0.3"/>
  <pageSetup scale="46" orientation="landscape" r:id="rId1"/>
  <rowBreaks count="1" manualBreakCount="1">
    <brk id="59" max="12" man="1"/>
  </rowBreaks>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N37"/>
  <sheetViews>
    <sheetView view="pageBreakPreview" zoomScale="60" zoomScaleNormal="80" workbookViewId="0">
      <selection activeCell="J33" sqref="J33"/>
    </sheetView>
  </sheetViews>
  <sheetFormatPr defaultRowHeight="14.5"/>
  <cols>
    <col min="1" max="1" width="48.81640625" customWidth="1"/>
    <col min="2" max="2" width="13.1796875" customWidth="1"/>
    <col min="3" max="3" width="19.81640625" customWidth="1"/>
    <col min="4" max="4" width="24.7265625" customWidth="1"/>
    <col min="5" max="5" width="22.7265625" customWidth="1"/>
    <col min="6" max="7" width="21.26953125" customWidth="1"/>
    <col min="8" max="8" width="12.453125" customWidth="1"/>
    <col min="9" max="9" width="18.453125" customWidth="1"/>
    <col min="10" max="10" width="21.26953125" customWidth="1"/>
    <col min="11" max="11" width="2.26953125" customWidth="1"/>
    <col min="12" max="12" width="22.7265625" customWidth="1"/>
    <col min="13" max="13" width="17.26953125" customWidth="1"/>
  </cols>
  <sheetData>
    <row r="1" spans="1:14" ht="25.5">
      <c r="A1" s="23" t="s">
        <v>1</v>
      </c>
      <c r="B1" s="12"/>
      <c r="C1" s="12"/>
      <c r="D1" s="12"/>
      <c r="E1" s="12"/>
      <c r="F1" s="12"/>
      <c r="G1" s="12"/>
      <c r="H1" s="12"/>
      <c r="I1" s="12"/>
      <c r="J1" s="12"/>
      <c r="K1" s="12"/>
      <c r="L1" s="12"/>
      <c r="M1" s="12"/>
      <c r="N1" s="12"/>
    </row>
    <row r="2" spans="1:14" ht="17.5">
      <c r="A2" s="62" t="s">
        <v>9</v>
      </c>
      <c r="B2" s="12"/>
      <c r="C2" s="12"/>
      <c r="D2" s="12"/>
      <c r="E2" s="12"/>
      <c r="F2" s="12"/>
      <c r="G2" s="12"/>
      <c r="H2" s="12"/>
      <c r="I2" s="12"/>
      <c r="J2" s="12"/>
      <c r="K2" s="12"/>
      <c r="L2" s="12"/>
      <c r="M2" s="12"/>
      <c r="N2" s="12"/>
    </row>
    <row r="3" spans="1:14" ht="17">
      <c r="A3" s="25" t="s">
        <v>452</v>
      </c>
      <c r="B3" s="12"/>
      <c r="C3" s="12"/>
      <c r="D3" s="12"/>
      <c r="E3" s="12"/>
      <c r="F3" s="12"/>
      <c r="G3" s="12"/>
      <c r="H3" s="12"/>
      <c r="I3" s="12"/>
      <c r="J3" s="12"/>
      <c r="K3" s="12"/>
      <c r="L3" s="12"/>
      <c r="M3" s="12"/>
      <c r="N3" s="12"/>
    </row>
    <row r="4" spans="1:14" ht="17">
      <c r="A4" s="12"/>
      <c r="B4" s="12"/>
      <c r="C4" s="12"/>
      <c r="D4" s="26" t="s">
        <v>0</v>
      </c>
      <c r="E4" s="12"/>
      <c r="F4" s="12"/>
      <c r="G4" s="12"/>
      <c r="H4" s="12"/>
      <c r="I4" s="12"/>
      <c r="J4" s="12"/>
      <c r="K4" s="12"/>
      <c r="L4" s="12"/>
      <c r="M4" s="12"/>
      <c r="N4" s="12"/>
    </row>
    <row r="5" spans="1:14" ht="18" thickBot="1">
      <c r="A5" s="62"/>
      <c r="B5" s="12"/>
      <c r="C5" s="12"/>
      <c r="D5" s="12"/>
      <c r="E5" s="12"/>
      <c r="F5" s="12"/>
      <c r="G5" s="12"/>
      <c r="H5" s="12"/>
      <c r="I5" s="12"/>
      <c r="J5" s="12"/>
      <c r="K5" s="12"/>
      <c r="L5" s="12"/>
      <c r="M5" s="12"/>
      <c r="N5" s="12"/>
    </row>
    <row r="6" spans="1:14" ht="18" thickBot="1">
      <c r="A6" s="282" t="str">
        <f>+'S&amp;D'!A12</f>
        <v>Water Utility Companies (Private)</v>
      </c>
      <c r="B6" s="207"/>
      <c r="C6" s="12"/>
      <c r="D6" s="12"/>
      <c r="E6" s="12"/>
      <c r="F6" s="12"/>
      <c r="G6" s="12"/>
      <c r="H6" s="12"/>
      <c r="I6" s="12"/>
      <c r="J6" s="12"/>
      <c r="K6" s="12"/>
      <c r="L6" s="12"/>
      <c r="M6" s="12"/>
      <c r="N6" s="12"/>
    </row>
    <row r="7" spans="1:14" ht="17.5">
      <c r="A7" s="62"/>
      <c r="B7" s="12"/>
      <c r="C7" s="12"/>
      <c r="D7" s="12"/>
      <c r="E7" s="12"/>
      <c r="F7" s="12"/>
      <c r="G7" s="12"/>
      <c r="H7" s="12"/>
      <c r="I7" s="12"/>
      <c r="J7" s="12"/>
      <c r="K7" s="12"/>
      <c r="L7" s="12"/>
      <c r="M7" s="12"/>
      <c r="N7" s="12"/>
    </row>
    <row r="8" spans="1:14" ht="18" thickBot="1">
      <c r="A8" s="62"/>
      <c r="B8" s="12"/>
      <c r="C8" s="28"/>
      <c r="D8" s="28"/>
      <c r="E8" s="28"/>
      <c r="F8" s="12"/>
      <c r="G8" s="12"/>
      <c r="H8" s="28"/>
      <c r="I8" s="28"/>
      <c r="J8" s="28"/>
      <c r="K8" s="28"/>
      <c r="L8" s="28"/>
      <c r="M8" s="28"/>
      <c r="N8" s="12"/>
    </row>
    <row r="9" spans="1:14" ht="25.5">
      <c r="B9" s="12"/>
      <c r="C9" s="12"/>
      <c r="D9" s="31" t="s">
        <v>309</v>
      </c>
      <c r="E9" s="12"/>
      <c r="F9" s="12"/>
      <c r="G9" s="12"/>
      <c r="H9" s="12"/>
      <c r="I9" s="12"/>
      <c r="J9" s="12"/>
      <c r="K9" s="68" t="s">
        <v>310</v>
      </c>
      <c r="L9" s="12"/>
      <c r="M9" s="12"/>
      <c r="N9" s="12"/>
    </row>
    <row r="10" spans="1:14" ht="21.5" thickBot="1">
      <c r="A10" s="30"/>
      <c r="B10" s="12"/>
      <c r="C10" s="28"/>
      <c r="D10" s="32" t="s">
        <v>453</v>
      </c>
      <c r="E10" s="28"/>
      <c r="F10" s="12"/>
      <c r="G10" s="12"/>
      <c r="H10" s="28"/>
      <c r="I10" s="28"/>
      <c r="J10" s="28"/>
      <c r="K10" s="32" t="s">
        <v>453</v>
      </c>
      <c r="L10" s="28"/>
      <c r="M10" s="28"/>
      <c r="N10" s="12"/>
    </row>
    <row r="11" spans="1:14" ht="17.5" thickBot="1">
      <c r="A11" s="33" t="s">
        <v>0</v>
      </c>
      <c r="B11" s="33" t="s">
        <v>0</v>
      </c>
      <c r="C11" s="33" t="s">
        <v>0</v>
      </c>
      <c r="D11" s="33" t="s">
        <v>0</v>
      </c>
      <c r="E11" s="33" t="s">
        <v>0</v>
      </c>
      <c r="F11" s="33" t="s">
        <v>0</v>
      </c>
      <c r="G11" s="40"/>
      <c r="H11" s="28"/>
      <c r="I11" s="33" t="s">
        <v>0</v>
      </c>
      <c r="J11" s="28"/>
      <c r="K11" s="28"/>
      <c r="L11" s="28"/>
      <c r="M11" s="28"/>
      <c r="N11" s="12"/>
    </row>
    <row r="12" spans="1:14" ht="17">
      <c r="A12" s="34" t="s">
        <v>0</v>
      </c>
      <c r="B12" s="34" t="s">
        <v>3</v>
      </c>
      <c r="C12" s="34" t="s">
        <v>368</v>
      </c>
      <c r="D12" s="34" t="s">
        <v>109</v>
      </c>
      <c r="E12" s="34" t="s">
        <v>109</v>
      </c>
      <c r="F12" s="34" t="s">
        <v>26</v>
      </c>
      <c r="G12" s="34"/>
      <c r="H12" s="34" t="s">
        <v>3</v>
      </c>
      <c r="I12" s="34" t="s">
        <v>368</v>
      </c>
      <c r="J12" s="34" t="s">
        <v>109</v>
      </c>
      <c r="K12" s="34"/>
      <c r="L12" s="34" t="s">
        <v>109</v>
      </c>
      <c r="M12" s="34" t="s">
        <v>26</v>
      </c>
      <c r="N12" s="12"/>
    </row>
    <row r="13" spans="1:14" ht="17.5" thickBot="1">
      <c r="A13" s="36" t="s">
        <v>2</v>
      </c>
      <c r="B13" s="36" t="s">
        <v>4</v>
      </c>
      <c r="C13" s="36" t="s">
        <v>27</v>
      </c>
      <c r="D13" s="36" t="s">
        <v>168</v>
      </c>
      <c r="E13" s="36" t="s">
        <v>28</v>
      </c>
      <c r="F13" s="36" t="s">
        <v>29</v>
      </c>
      <c r="G13" s="34"/>
      <c r="H13" s="36" t="s">
        <v>4</v>
      </c>
      <c r="I13" s="36" t="s">
        <v>27</v>
      </c>
      <c r="J13" s="36" t="s">
        <v>168</v>
      </c>
      <c r="K13" s="36"/>
      <c r="L13" s="36" t="s">
        <v>28</v>
      </c>
      <c r="M13" s="36" t="s">
        <v>29</v>
      </c>
      <c r="N13" s="12"/>
    </row>
    <row r="14" spans="1:14" ht="17">
      <c r="A14" s="38" t="s">
        <v>0</v>
      </c>
      <c r="B14" s="38" t="s">
        <v>0</v>
      </c>
      <c r="C14" s="39" t="s">
        <v>112</v>
      </c>
      <c r="D14" s="38" t="s">
        <v>113</v>
      </c>
      <c r="E14" s="38" t="s">
        <v>0</v>
      </c>
      <c r="F14" s="38" t="s">
        <v>0</v>
      </c>
      <c r="G14" s="40"/>
      <c r="H14" s="38" t="s">
        <v>0</v>
      </c>
      <c r="I14" s="39" t="s">
        <v>112</v>
      </c>
      <c r="J14" s="38" t="s">
        <v>114</v>
      </c>
      <c r="K14" s="38"/>
      <c r="L14" s="38" t="s">
        <v>0</v>
      </c>
      <c r="M14" s="38" t="s">
        <v>0</v>
      </c>
      <c r="N14" s="12"/>
    </row>
    <row r="15" spans="1:14" ht="17">
      <c r="A15" s="34"/>
      <c r="B15" s="34"/>
      <c r="C15" s="34"/>
      <c r="D15" s="34"/>
      <c r="E15" s="34"/>
      <c r="F15" s="34"/>
      <c r="G15" s="34"/>
      <c r="H15" s="34"/>
      <c r="I15" s="34"/>
      <c r="J15" s="34"/>
      <c r="K15" s="34"/>
      <c r="L15" s="34"/>
      <c r="M15" s="34"/>
      <c r="N15" s="12"/>
    </row>
    <row r="16" spans="1:14" ht="17">
      <c r="A16" s="12"/>
      <c r="B16" s="12"/>
      <c r="C16" s="12"/>
      <c r="D16" s="12"/>
      <c r="E16" s="12"/>
      <c r="F16" s="12"/>
      <c r="G16" s="12"/>
      <c r="H16" s="12"/>
      <c r="I16" s="12"/>
      <c r="J16" s="12"/>
      <c r="K16" s="12"/>
      <c r="L16" s="12"/>
      <c r="M16" s="12"/>
      <c r="N16" s="12"/>
    </row>
    <row r="17" spans="1:14" ht="17.5">
      <c r="A17" s="62" t="str">
        <f>+'S&amp;D'!A22</f>
        <v>American States Water Company</v>
      </c>
      <c r="B17" s="91" t="str">
        <f>+'S&amp;D'!B22</f>
        <v>AWR</v>
      </c>
      <c r="C17" s="59">
        <f>+'S&amp;D'!G22</f>
        <v>80.42</v>
      </c>
      <c r="D17" s="61">
        <v>4.5999999999999996</v>
      </c>
      <c r="E17" s="69">
        <f>C17/D17</f>
        <v>17.482608695652175</v>
      </c>
      <c r="F17" s="56">
        <f t="shared" ref="F17:F22" si="0">1/E17</f>
        <v>5.7199701566774432E-2</v>
      </c>
      <c r="G17" s="56"/>
      <c r="H17" s="91" t="str">
        <f>+B17</f>
        <v>AWR</v>
      </c>
      <c r="I17" s="59">
        <f>+C17</f>
        <v>80.42</v>
      </c>
      <c r="J17" s="319">
        <v>4.2</v>
      </c>
      <c r="K17" s="61"/>
      <c r="L17" s="69">
        <f>I17/J17</f>
        <v>19.147619047619049</v>
      </c>
      <c r="M17" s="56">
        <f t="shared" ref="M17:M22" si="1">1/L17</f>
        <v>5.2225814474011437E-2</v>
      </c>
      <c r="N17" s="12"/>
    </row>
    <row r="18" spans="1:14" ht="17.5">
      <c r="A18" s="62" t="str">
        <f>+'S&amp;D'!A23</f>
        <v>American Water Works Company Inc</v>
      </c>
      <c r="B18" s="91" t="str">
        <f>+'S&amp;D'!B23</f>
        <v>AWK</v>
      </c>
      <c r="C18" s="59">
        <f>+'S&amp;D'!G23</f>
        <v>131.99</v>
      </c>
      <c r="D18" s="61">
        <v>8.4</v>
      </c>
      <c r="E18" s="69">
        <f t="shared" ref="E18:E22" si="2">C18/D18</f>
        <v>15.713095238095239</v>
      </c>
      <c r="F18" s="56">
        <f t="shared" si="0"/>
        <v>6.3641184938252895E-2</v>
      </c>
      <c r="G18" s="56"/>
      <c r="H18" s="91" t="str">
        <f t="shared" ref="H18:H22" si="3">+B18</f>
        <v>AWK</v>
      </c>
      <c r="I18" s="59">
        <f t="shared" ref="I18:I22" si="4">+C18</f>
        <v>131.99</v>
      </c>
      <c r="J18" s="319">
        <v>9</v>
      </c>
      <c r="K18" s="61"/>
      <c r="L18" s="69">
        <f t="shared" ref="L18:L22" si="5">I18/J18</f>
        <v>14.665555555555557</v>
      </c>
      <c r="M18" s="56">
        <f t="shared" si="1"/>
        <v>6.8186983862413814E-2</v>
      </c>
      <c r="N18" s="12"/>
    </row>
    <row r="19" spans="1:14" ht="17.5">
      <c r="A19" s="62" t="str">
        <f>+'S&amp;D'!A24</f>
        <v xml:space="preserve">California Water Service Group </v>
      </c>
      <c r="B19" s="91" t="str">
        <f>+'S&amp;D'!B24</f>
        <v>CWT</v>
      </c>
      <c r="C19" s="59">
        <f>+'S&amp;D'!G24</f>
        <v>51.87</v>
      </c>
      <c r="D19" s="61">
        <v>2.2000000000000002</v>
      </c>
      <c r="E19" s="69">
        <f t="shared" si="2"/>
        <v>23.577272727272724</v>
      </c>
      <c r="F19" s="56">
        <f t="shared" si="0"/>
        <v>4.2413726624252947E-2</v>
      </c>
      <c r="G19" s="56"/>
      <c r="H19" s="91" t="str">
        <f t="shared" si="3"/>
        <v>CWT</v>
      </c>
      <c r="I19" s="59">
        <f t="shared" si="4"/>
        <v>51.87</v>
      </c>
      <c r="J19" s="319">
        <v>3.7</v>
      </c>
      <c r="K19" s="61"/>
      <c r="L19" s="69">
        <f t="shared" si="5"/>
        <v>14.018918918918917</v>
      </c>
      <c r="M19" s="56">
        <f t="shared" si="1"/>
        <v>7.1332176595334501E-2</v>
      </c>
      <c r="N19" s="12"/>
    </row>
    <row r="20" spans="1:14" ht="17.5">
      <c r="A20" s="62" t="str">
        <f>+'S&amp;D'!A25</f>
        <v>Essential Utilities, Inc.</v>
      </c>
      <c r="B20" s="91" t="str">
        <f>+'S&amp;D'!B25</f>
        <v>WTRG</v>
      </c>
      <c r="C20" s="59">
        <f>+'S&amp;D'!G25</f>
        <v>37.35</v>
      </c>
      <c r="D20" s="61">
        <v>3.55</v>
      </c>
      <c r="E20" s="69">
        <f>C20/D20</f>
        <v>10.521126760563382</v>
      </c>
      <c r="F20" s="56">
        <f t="shared" si="0"/>
        <v>9.504685408299865E-2</v>
      </c>
      <c r="G20" s="56"/>
      <c r="H20" s="91" t="str">
        <f t="shared" si="3"/>
        <v>WTRG</v>
      </c>
      <c r="I20" s="59">
        <f t="shared" si="4"/>
        <v>37.35</v>
      </c>
      <c r="J20" s="319">
        <v>3.65</v>
      </c>
      <c r="K20" s="61"/>
      <c r="L20" s="69">
        <f t="shared" si="5"/>
        <v>10.232876712328768</v>
      </c>
      <c r="M20" s="56">
        <f t="shared" si="1"/>
        <v>9.772423025435073E-2</v>
      </c>
      <c r="N20" s="12"/>
    </row>
    <row r="21" spans="1:14" ht="17.5">
      <c r="A21" s="62" t="str">
        <f>+'S&amp;D'!A26</f>
        <v>Middlesex Water Company</v>
      </c>
      <c r="B21" s="91" t="str">
        <f>+'S&amp;D'!B26</f>
        <v>MSEX</v>
      </c>
      <c r="C21" s="59">
        <f>+'S&amp;D'!G26</f>
        <v>65.62</v>
      </c>
      <c r="D21" s="61">
        <v>3.05</v>
      </c>
      <c r="E21" s="69">
        <f t="shared" si="2"/>
        <v>21.514754098360658</v>
      </c>
      <c r="F21" s="56">
        <f t="shared" si="0"/>
        <v>4.6479731789088687E-2</v>
      </c>
      <c r="G21" s="56"/>
      <c r="H21" s="91" t="str">
        <f t="shared" si="3"/>
        <v>MSEX</v>
      </c>
      <c r="I21" s="59">
        <f t="shared" si="4"/>
        <v>65.62</v>
      </c>
      <c r="J21" s="319">
        <v>3.6</v>
      </c>
      <c r="K21" s="61"/>
      <c r="L21" s="69">
        <f t="shared" si="5"/>
        <v>18.227777777777778</v>
      </c>
      <c r="M21" s="56">
        <f t="shared" si="1"/>
        <v>5.4861322767448949E-2</v>
      </c>
      <c r="N21" s="12"/>
    </row>
    <row r="22" spans="1:14" ht="17.5">
      <c r="A22" s="62" t="str">
        <f>+'S&amp;D'!A27</f>
        <v>SJW Corporation</v>
      </c>
      <c r="B22" s="91" t="str">
        <f>+'S&amp;D'!B27</f>
        <v>SJW</v>
      </c>
      <c r="C22" s="59">
        <f>+'S&amp;D'!G27</f>
        <v>65.650000000000006</v>
      </c>
      <c r="D22" s="61">
        <v>4.5</v>
      </c>
      <c r="E22" s="69">
        <f t="shared" si="2"/>
        <v>14.58888888888889</v>
      </c>
      <c r="F22" s="56">
        <f t="shared" si="0"/>
        <v>6.8545316070068543E-2</v>
      </c>
      <c r="G22" s="56"/>
      <c r="H22" s="91" t="str">
        <f t="shared" si="3"/>
        <v>SJW</v>
      </c>
      <c r="I22" s="59">
        <f t="shared" si="4"/>
        <v>65.650000000000006</v>
      </c>
      <c r="J22" s="319">
        <v>4.75</v>
      </c>
      <c r="K22" s="61"/>
      <c r="L22" s="69">
        <f t="shared" si="5"/>
        <v>13.821052631578949</v>
      </c>
      <c r="M22" s="56">
        <f t="shared" si="1"/>
        <v>7.235338918507235E-2</v>
      </c>
      <c r="N22" s="12"/>
    </row>
    <row r="23" spans="1:14" ht="17.5" thickBot="1">
      <c r="A23" s="12"/>
      <c r="B23" s="70"/>
      <c r="C23" s="70"/>
      <c r="D23" s="70"/>
      <c r="E23" s="70"/>
      <c r="F23" s="70"/>
      <c r="G23" s="12"/>
      <c r="H23" s="70"/>
      <c r="I23" s="70"/>
      <c r="J23" s="320" t="s">
        <v>0</v>
      </c>
      <c r="K23" s="70"/>
      <c r="L23" s="70"/>
      <c r="M23" s="70"/>
      <c r="N23" s="12"/>
    </row>
    <row r="24" spans="1:14" ht="17.5" thickTop="1">
      <c r="A24" s="12"/>
      <c r="B24" s="14" t="s">
        <v>45</v>
      </c>
      <c r="C24" s="71">
        <f>MAX(C17:C22)</f>
        <v>131.99</v>
      </c>
      <c r="D24" s="71">
        <f t="shared" ref="D24:F24" si="6">MAX(D17:D22)</f>
        <v>8.4</v>
      </c>
      <c r="E24" s="71">
        <f t="shared" si="6"/>
        <v>23.577272727272724</v>
      </c>
      <c r="F24" s="52">
        <f t="shared" si="6"/>
        <v>9.504685408299865E-2</v>
      </c>
      <c r="H24" s="14" t="s">
        <v>45</v>
      </c>
      <c r="I24" s="71">
        <f>MAX(I17:I22)</f>
        <v>131.99</v>
      </c>
      <c r="J24" s="71">
        <f t="shared" ref="J24:L24" si="7">MAX(J17:J22)</f>
        <v>9</v>
      </c>
      <c r="K24" s="71"/>
      <c r="L24" s="71">
        <f t="shared" si="7"/>
        <v>19.147619047619049</v>
      </c>
      <c r="M24" s="52">
        <f t="shared" ref="M24" si="8">MAX(M17:M22)</f>
        <v>9.772423025435073E-2</v>
      </c>
      <c r="N24" s="12"/>
    </row>
    <row r="25" spans="1:14" ht="17">
      <c r="A25" s="12"/>
      <c r="B25" s="14" t="s">
        <v>46</v>
      </c>
      <c r="C25" s="71">
        <f>+MIN(C17:C22)</f>
        <v>37.35</v>
      </c>
      <c r="D25" s="71">
        <f t="shared" ref="D25:F25" si="9">+MIN(D17:D22)</f>
        <v>2.2000000000000002</v>
      </c>
      <c r="E25" s="71">
        <f t="shared" si="9"/>
        <v>10.521126760563382</v>
      </c>
      <c r="F25" s="52">
        <f t="shared" si="9"/>
        <v>4.2413726624252947E-2</v>
      </c>
      <c r="H25" s="14" t="s">
        <v>46</v>
      </c>
      <c r="I25" s="71">
        <f>+MIN(I17:I22)</f>
        <v>37.35</v>
      </c>
      <c r="J25" s="71">
        <f t="shared" ref="J25:L25" si="10">+MIN(J17:J22)</f>
        <v>3.6</v>
      </c>
      <c r="K25" s="71"/>
      <c r="L25" s="71">
        <f t="shared" si="10"/>
        <v>10.232876712328768</v>
      </c>
      <c r="M25" s="52">
        <f t="shared" ref="M25" si="11">+MIN(M17:M22)</f>
        <v>5.2225814474011437E-2</v>
      </c>
      <c r="N25" s="12"/>
    </row>
    <row r="26" spans="1:14" ht="17">
      <c r="A26" s="12"/>
      <c r="B26" s="14" t="s">
        <v>18</v>
      </c>
      <c r="C26" s="72">
        <f>MEDIAN(C17:C22)</f>
        <v>65.635000000000005</v>
      </c>
      <c r="D26" s="73">
        <f>MEDIAN(D17:D22)</f>
        <v>4.0250000000000004</v>
      </c>
      <c r="E26" s="21">
        <f>MEDIAN(E17:E22)</f>
        <v>16.597851966873705</v>
      </c>
      <c r="F26" s="56">
        <f>MEDIAN(F17:F22)</f>
        <v>6.0420443252513667E-2</v>
      </c>
      <c r="G26" s="56"/>
      <c r="H26" s="14" t="s">
        <v>18</v>
      </c>
      <c r="I26" s="72">
        <f>MEDIAN(I17:I22)</f>
        <v>65.635000000000005</v>
      </c>
      <c r="J26" s="73">
        <f>MEDIAN(J17:J22)</f>
        <v>3.95</v>
      </c>
      <c r="K26" s="73"/>
      <c r="L26" s="21">
        <f>MEDIAN(L17:L22)</f>
        <v>14.342237237237237</v>
      </c>
      <c r="M26" s="56">
        <f>MEDIAN(M17:M22)</f>
        <v>6.9759580228874157E-2</v>
      </c>
      <c r="N26" s="12"/>
    </row>
    <row r="27" spans="1:14" ht="17">
      <c r="A27" s="12"/>
      <c r="B27" s="14" t="s">
        <v>409</v>
      </c>
      <c r="C27" s="21">
        <f>AVERAGE(C17:C22)</f>
        <v>72.15000000000002</v>
      </c>
      <c r="D27" s="17">
        <f>AVERAGE(D17:D22)</f>
        <v>4.3833333333333337</v>
      </c>
      <c r="E27" s="21">
        <f>AVERAGE(E17:E22)</f>
        <v>17.23295773480551</v>
      </c>
      <c r="F27" s="74">
        <f>AVERAGE(F17:F22)</f>
        <v>6.222108584523936E-2</v>
      </c>
      <c r="G27" s="74"/>
      <c r="H27" s="14" t="s">
        <v>409</v>
      </c>
      <c r="I27" s="17">
        <f>AVERAGE(I17:I22)</f>
        <v>72.15000000000002</v>
      </c>
      <c r="J27" s="17">
        <f>AVERAGE(J17:J22)</f>
        <v>4.8166666666666664</v>
      </c>
      <c r="K27" s="17"/>
      <c r="L27" s="21">
        <f>AVERAGE(L17:L22)</f>
        <v>15.01896677396317</v>
      </c>
      <c r="M27" s="74">
        <f>AVERAGE(M17:M22)</f>
        <v>6.9447319523105289E-2</v>
      </c>
      <c r="N27" s="12"/>
    </row>
    <row r="28" spans="1:14" ht="17">
      <c r="A28" s="12"/>
      <c r="B28" s="12"/>
      <c r="C28" s="12"/>
      <c r="D28" s="12"/>
      <c r="E28" s="12"/>
      <c r="F28" s="12"/>
      <c r="G28" s="12"/>
      <c r="H28" s="12"/>
      <c r="I28" s="12"/>
      <c r="J28" s="12"/>
      <c r="K28" s="12"/>
      <c r="L28" s="12"/>
      <c r="M28" s="12"/>
      <c r="N28" s="12"/>
    </row>
    <row r="29" spans="1:14" ht="25.5">
      <c r="A29" s="12"/>
      <c r="B29" s="12"/>
      <c r="C29" s="12"/>
      <c r="D29" s="78" t="s">
        <v>73</v>
      </c>
      <c r="E29" s="340">
        <v>17.23</v>
      </c>
      <c r="F29" s="341">
        <v>6.2199999999999998E-2</v>
      </c>
      <c r="G29" s="292"/>
      <c r="H29" s="12"/>
      <c r="I29" s="12"/>
      <c r="J29" s="78" t="s">
        <v>73</v>
      </c>
      <c r="K29" s="49"/>
      <c r="L29" s="342">
        <v>15.02</v>
      </c>
      <c r="M29" s="341">
        <v>6.9400000000000003E-2</v>
      </c>
      <c r="N29" s="12"/>
    </row>
    <row r="30" spans="1:14" ht="30" customHeight="1" thickBot="1">
      <c r="A30" s="12"/>
      <c r="B30" s="12"/>
      <c r="C30" s="12"/>
      <c r="D30" s="12"/>
      <c r="E30" s="12"/>
      <c r="G30" s="75"/>
      <c r="H30" s="12"/>
      <c r="I30" s="12"/>
      <c r="J30" s="12"/>
      <c r="K30" s="12"/>
      <c r="L30" s="12"/>
      <c r="M30" s="12"/>
      <c r="N30" s="12"/>
    </row>
    <row r="31" spans="1:14" ht="26" thickBot="1">
      <c r="A31" s="76" t="s">
        <v>0</v>
      </c>
      <c r="B31" s="12"/>
      <c r="C31" s="12"/>
      <c r="D31" s="12"/>
      <c r="E31" s="23" t="s">
        <v>123</v>
      </c>
      <c r="F31" s="23"/>
      <c r="G31" s="233">
        <f>(+E29+L29)/2</f>
        <v>16.125</v>
      </c>
      <c r="H31" s="234">
        <f>(+F29+M29)/2</f>
        <v>6.5799999999999997E-2</v>
      </c>
      <c r="K31" s="12"/>
      <c r="N31" s="12"/>
    </row>
    <row r="32" spans="1:14" ht="17">
      <c r="A32" s="76" t="s">
        <v>0</v>
      </c>
      <c r="B32" s="12"/>
      <c r="C32" s="12"/>
      <c r="D32" s="12"/>
      <c r="E32" s="12"/>
      <c r="F32" s="12"/>
      <c r="G32" s="12"/>
      <c r="H32" s="12"/>
      <c r="I32" s="12"/>
      <c r="J32" s="12"/>
      <c r="K32" s="12"/>
      <c r="L32" s="12"/>
      <c r="M32" s="12"/>
      <c r="N32" s="12"/>
    </row>
    <row r="33" spans="1:14" ht="17">
      <c r="A33" s="12"/>
      <c r="B33" s="12"/>
      <c r="C33" s="12"/>
      <c r="D33" s="12"/>
      <c r="E33" s="12"/>
      <c r="F33" s="12"/>
      <c r="G33" s="12"/>
      <c r="H33" s="12"/>
      <c r="I33" s="12"/>
      <c r="J33" s="12"/>
      <c r="K33" s="12"/>
      <c r="L33" s="12"/>
      <c r="M33" s="12"/>
      <c r="N33" s="12"/>
    </row>
    <row r="34" spans="1:14" ht="17">
      <c r="A34" s="12"/>
      <c r="B34" s="12"/>
      <c r="C34" s="12"/>
      <c r="D34" s="12"/>
      <c r="E34" s="12"/>
      <c r="F34" s="12"/>
      <c r="G34" s="12"/>
      <c r="H34" s="12"/>
      <c r="I34" s="12"/>
      <c r="J34" s="12"/>
      <c r="K34" s="12"/>
      <c r="L34" s="12"/>
      <c r="M34" s="12"/>
      <c r="N34" s="12"/>
    </row>
    <row r="35" spans="1:14" ht="17.5">
      <c r="A35" s="107" t="s">
        <v>374</v>
      </c>
    </row>
    <row r="36" spans="1:14" ht="17.5">
      <c r="A36" s="107" t="s">
        <v>375</v>
      </c>
    </row>
    <row r="37" spans="1:14" ht="17.5">
      <c r="A37" s="107" t="s">
        <v>376</v>
      </c>
    </row>
  </sheetData>
  <pageMargins left="0.25" right="0.25" top="0.75" bottom="0.75" header="0.3" footer="0.3"/>
  <pageSetup scale="4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BEAAB1-5671-4283-A0D0-11DDA5DBBF04}">
  <sheetPr>
    <tabColor rgb="FF92D050"/>
  </sheetPr>
  <dimension ref="A1:O67"/>
  <sheetViews>
    <sheetView view="pageBreakPreview" zoomScale="60" zoomScaleNormal="80" workbookViewId="0">
      <selection activeCell="L32" sqref="L32"/>
    </sheetView>
  </sheetViews>
  <sheetFormatPr defaultRowHeight="14.5"/>
  <cols>
    <col min="1" max="1" width="53.81640625" customWidth="1"/>
    <col min="2" max="2" width="11.54296875" customWidth="1"/>
    <col min="3" max="3" width="12.26953125" bestFit="1" customWidth="1"/>
    <col min="4" max="4" width="20.1796875" customWidth="1"/>
    <col min="5" max="5" width="18.81640625" customWidth="1"/>
    <col min="6" max="6" width="19" customWidth="1"/>
    <col min="7" max="7" width="16.453125" customWidth="1"/>
    <col min="8" max="10" width="19.26953125" customWidth="1"/>
    <col min="11" max="12" width="21.54296875" customWidth="1"/>
    <col min="13" max="13" width="18.26953125" customWidth="1"/>
  </cols>
  <sheetData>
    <row r="1" spans="1:15" ht="25.5">
      <c r="A1" s="23" t="s">
        <v>1</v>
      </c>
      <c r="B1" s="23"/>
      <c r="C1" s="12"/>
      <c r="D1" s="12"/>
      <c r="E1" s="12"/>
      <c r="F1" s="12"/>
      <c r="G1" s="12"/>
      <c r="H1" s="12"/>
      <c r="I1" s="12"/>
      <c r="J1" s="12"/>
      <c r="K1" s="12"/>
      <c r="L1" s="12"/>
      <c r="M1" s="12"/>
      <c r="N1" s="12"/>
      <c r="O1" s="12"/>
    </row>
    <row r="2" spans="1:15" ht="17.5">
      <c r="A2" s="62" t="s">
        <v>9</v>
      </c>
      <c r="B2" s="62"/>
      <c r="C2" s="12"/>
      <c r="D2" s="12"/>
      <c r="E2" s="12"/>
      <c r="F2" s="12"/>
      <c r="G2" s="12"/>
      <c r="H2" s="12"/>
      <c r="I2" s="12"/>
      <c r="J2" s="12"/>
      <c r="K2" s="12"/>
      <c r="L2" s="12"/>
      <c r="M2" s="12"/>
      <c r="N2" s="12"/>
      <c r="O2" s="12"/>
    </row>
    <row r="3" spans="1:15" ht="17">
      <c r="A3" s="25" t="s">
        <v>452</v>
      </c>
      <c r="B3" s="43"/>
      <c r="C3" s="12"/>
      <c r="D3" s="12"/>
      <c r="E3" s="12"/>
      <c r="F3" s="12"/>
      <c r="G3" s="12"/>
      <c r="H3" s="12"/>
      <c r="I3" s="12"/>
      <c r="J3" s="12"/>
      <c r="K3" s="12"/>
      <c r="L3" s="12"/>
      <c r="M3" s="12"/>
      <c r="N3" s="12"/>
      <c r="O3" s="12"/>
    </row>
    <row r="4" spans="1:15" ht="17">
      <c r="A4" s="12"/>
      <c r="B4" s="12"/>
      <c r="C4" s="12"/>
      <c r="D4" s="12"/>
      <c r="E4" s="26" t="s">
        <v>0</v>
      </c>
      <c r="F4" s="12"/>
      <c r="G4" s="12"/>
      <c r="H4" s="12"/>
      <c r="I4" s="12"/>
      <c r="J4" s="12"/>
      <c r="K4" s="12"/>
      <c r="L4" s="12"/>
      <c r="M4" s="12"/>
      <c r="N4" s="12"/>
      <c r="O4" s="12"/>
    </row>
    <row r="5" spans="1:15" ht="18" thickBot="1">
      <c r="A5" s="62"/>
      <c r="B5" s="62"/>
      <c r="C5" s="12"/>
      <c r="D5" s="12"/>
      <c r="E5" s="12"/>
      <c r="F5" s="12"/>
      <c r="G5" s="12"/>
      <c r="H5" s="12"/>
      <c r="I5" s="12"/>
      <c r="J5" s="12"/>
      <c r="K5" s="12"/>
      <c r="L5" s="12"/>
      <c r="M5" s="12"/>
      <c r="N5" s="12"/>
      <c r="O5" s="12"/>
    </row>
    <row r="6" spans="1:15" ht="21.5" thickBot="1">
      <c r="A6" s="280" t="str">
        <f>+'S&amp;D'!A12</f>
        <v>Water Utility Companies (Private)</v>
      </c>
      <c r="B6" s="283"/>
      <c r="C6" s="12"/>
      <c r="D6" s="12"/>
      <c r="E6" s="12"/>
      <c r="F6" s="12"/>
      <c r="G6" s="12"/>
      <c r="H6" s="12"/>
      <c r="I6" s="12"/>
      <c r="J6" s="12"/>
      <c r="K6" s="12"/>
      <c r="L6" s="12"/>
      <c r="M6" s="12"/>
      <c r="N6" s="12"/>
      <c r="O6" s="12"/>
    </row>
    <row r="7" spans="1:15" ht="18" thickBot="1">
      <c r="A7" s="62"/>
      <c r="B7" s="62"/>
      <c r="C7" s="28"/>
      <c r="D7" s="28"/>
      <c r="E7" s="28"/>
      <c r="F7" s="28"/>
      <c r="G7" s="28"/>
      <c r="H7" s="12"/>
      <c r="I7" s="28"/>
      <c r="J7" s="28"/>
      <c r="K7" s="28"/>
      <c r="L7" s="28"/>
      <c r="M7" s="28"/>
      <c r="N7" s="12"/>
      <c r="O7" s="12"/>
    </row>
    <row r="8" spans="1:15" ht="25.5">
      <c r="B8" s="30"/>
      <c r="C8" s="12"/>
      <c r="D8" s="12"/>
      <c r="E8" s="31" t="s">
        <v>235</v>
      </c>
      <c r="F8" s="12"/>
      <c r="G8" s="12"/>
      <c r="H8" s="12"/>
      <c r="I8" s="12"/>
      <c r="J8" s="12"/>
      <c r="K8" s="31" t="s">
        <v>236</v>
      </c>
      <c r="L8" s="12"/>
      <c r="M8" s="12"/>
      <c r="N8" s="12"/>
      <c r="O8" s="12"/>
    </row>
    <row r="9" spans="1:15" ht="21.5" thickBot="1">
      <c r="A9" s="30"/>
      <c r="B9" s="30"/>
      <c r="C9" s="28"/>
      <c r="D9" s="28"/>
      <c r="E9" s="36" t="s">
        <v>453</v>
      </c>
      <c r="F9" s="28"/>
      <c r="G9" s="28"/>
      <c r="H9" s="12"/>
      <c r="I9" s="28"/>
      <c r="J9" s="28"/>
      <c r="K9" s="36" t="s">
        <v>453</v>
      </c>
      <c r="L9" s="28"/>
      <c r="M9" s="28"/>
      <c r="N9" s="12"/>
      <c r="O9" s="12"/>
    </row>
    <row r="10" spans="1:15" ht="17.5" thickBot="1">
      <c r="A10" s="33" t="s">
        <v>0</v>
      </c>
      <c r="B10" s="33"/>
      <c r="C10" s="33" t="s">
        <v>0</v>
      </c>
      <c r="D10" s="33" t="s">
        <v>0</v>
      </c>
      <c r="E10" s="33" t="s">
        <v>0</v>
      </c>
      <c r="F10" s="33" t="s">
        <v>0</v>
      </c>
      <c r="G10" s="33" t="s">
        <v>0</v>
      </c>
      <c r="H10" s="12"/>
      <c r="I10" s="28"/>
      <c r="J10" s="28"/>
      <c r="K10" s="28"/>
      <c r="L10" s="28"/>
      <c r="M10" s="28"/>
      <c r="N10" s="12"/>
      <c r="O10" s="12"/>
    </row>
    <row r="11" spans="1:15" ht="17">
      <c r="A11" s="34" t="s">
        <v>0</v>
      </c>
      <c r="B11" s="34"/>
      <c r="C11" s="34" t="s">
        <v>3</v>
      </c>
      <c r="D11" s="34" t="s">
        <v>368</v>
      </c>
      <c r="E11" s="34" t="s">
        <v>370</v>
      </c>
      <c r="F11" s="34" t="s">
        <v>110</v>
      </c>
      <c r="G11" s="34" t="s">
        <v>26</v>
      </c>
      <c r="H11" s="12"/>
      <c r="I11" s="34" t="s">
        <v>3</v>
      </c>
      <c r="J11" s="34" t="s">
        <v>368</v>
      </c>
      <c r="K11" s="34" t="s">
        <v>370</v>
      </c>
      <c r="L11" s="34" t="s">
        <v>110</v>
      </c>
      <c r="M11" s="34" t="s">
        <v>26</v>
      </c>
      <c r="N11" s="12"/>
      <c r="O11" s="12"/>
    </row>
    <row r="12" spans="1:15" ht="17.5" thickBot="1">
      <c r="A12" s="36" t="s">
        <v>2</v>
      </c>
      <c r="B12" s="36"/>
      <c r="C12" s="36" t="s">
        <v>4</v>
      </c>
      <c r="D12" s="36" t="s">
        <v>27</v>
      </c>
      <c r="E12" s="36" t="s">
        <v>168</v>
      </c>
      <c r="F12" s="36" t="s">
        <v>28</v>
      </c>
      <c r="G12" s="36" t="s">
        <v>29</v>
      </c>
      <c r="H12" s="12"/>
      <c r="I12" s="36" t="s">
        <v>4</v>
      </c>
      <c r="J12" s="36" t="s">
        <v>27</v>
      </c>
      <c r="K12" s="36" t="s">
        <v>168</v>
      </c>
      <c r="L12" s="36" t="s">
        <v>28</v>
      </c>
      <c r="M12" s="36" t="s">
        <v>29</v>
      </c>
      <c r="N12" s="12"/>
      <c r="O12" s="12"/>
    </row>
    <row r="13" spans="1:15" ht="17">
      <c r="A13" s="38" t="s">
        <v>0</v>
      </c>
      <c r="B13" s="38"/>
      <c r="C13" s="38" t="s">
        <v>0</v>
      </c>
      <c r="D13" s="39" t="s">
        <v>112</v>
      </c>
      <c r="E13" s="77" t="s">
        <v>113</v>
      </c>
      <c r="F13" s="38" t="s">
        <v>0</v>
      </c>
      <c r="G13" s="38" t="s">
        <v>0</v>
      </c>
      <c r="H13" s="12"/>
      <c r="I13" s="38" t="s">
        <v>0</v>
      </c>
      <c r="J13" s="39" t="s">
        <v>112</v>
      </c>
      <c r="K13" s="77" t="s">
        <v>111</v>
      </c>
      <c r="L13" s="38" t="s">
        <v>0</v>
      </c>
      <c r="M13" s="38" t="s">
        <v>0</v>
      </c>
      <c r="N13" s="12"/>
      <c r="O13" s="12"/>
    </row>
    <row r="14" spans="1:15" ht="17">
      <c r="A14" s="34"/>
      <c r="B14" s="34"/>
      <c r="C14" s="34"/>
      <c r="D14" s="34"/>
      <c r="E14" s="34"/>
      <c r="F14" s="34"/>
      <c r="G14" s="34"/>
      <c r="H14" s="12"/>
      <c r="I14" s="34"/>
      <c r="J14" s="34"/>
      <c r="K14" s="34"/>
      <c r="L14" s="34"/>
      <c r="M14" s="34"/>
      <c r="N14" s="12"/>
      <c r="O14" s="12"/>
    </row>
    <row r="15" spans="1:15" ht="17">
      <c r="A15" s="12"/>
      <c r="B15" s="12"/>
      <c r="C15" s="12"/>
      <c r="D15" s="12"/>
      <c r="E15" s="12"/>
      <c r="F15" s="12"/>
      <c r="G15" s="12"/>
      <c r="H15" s="12"/>
      <c r="I15" s="12"/>
      <c r="J15" s="12"/>
      <c r="K15" s="12"/>
      <c r="L15" s="12"/>
      <c r="M15" s="12"/>
      <c r="N15" s="12"/>
      <c r="O15" s="12"/>
    </row>
    <row r="16" spans="1:15" ht="17.5">
      <c r="A16" s="62" t="str">
        <f>+'S&amp;D'!A22</f>
        <v>American States Water Company</v>
      </c>
      <c r="B16" s="62"/>
      <c r="C16" s="91" t="str">
        <f>+'S&amp;D'!B22</f>
        <v>AWR</v>
      </c>
      <c r="D16" s="59">
        <f>'S&amp;D'!G22</f>
        <v>80.42</v>
      </c>
      <c r="E16" s="61">
        <v>3.35</v>
      </c>
      <c r="F16" s="69">
        <f>D16/E16</f>
        <v>24.005970149253731</v>
      </c>
      <c r="G16" s="56">
        <f t="shared" ref="G16:G21" si="0">1/F16</f>
        <v>4.1656304401890075E-2</v>
      </c>
      <c r="H16" s="12"/>
      <c r="I16" s="34" t="str">
        <f>+C16</f>
        <v>AWR</v>
      </c>
      <c r="J16" s="59">
        <f>+D16</f>
        <v>80.42</v>
      </c>
      <c r="K16" s="61">
        <v>3</v>
      </c>
      <c r="L16" s="69">
        <f>J16/K16</f>
        <v>26.806666666666668</v>
      </c>
      <c r="M16" s="56">
        <f t="shared" ref="M16:M21" si="1">1/L16</f>
        <v>3.7304153195722452E-2</v>
      </c>
      <c r="N16" s="12"/>
      <c r="O16" s="12"/>
    </row>
    <row r="17" spans="1:15" ht="17.5">
      <c r="A17" s="62" t="str">
        <f>+'S&amp;D'!A23</f>
        <v>American Water Works Company Inc</v>
      </c>
      <c r="B17" s="62"/>
      <c r="C17" s="91" t="str">
        <f>+'S&amp;D'!B23</f>
        <v>AWK</v>
      </c>
      <c r="D17" s="59">
        <f>'S&amp;D'!G23</f>
        <v>131.99</v>
      </c>
      <c r="E17" s="61">
        <v>4.8</v>
      </c>
      <c r="F17" s="69">
        <f t="shared" ref="F17:F21" si="2">D17/E17</f>
        <v>27.497916666666669</v>
      </c>
      <c r="G17" s="56">
        <f t="shared" si="0"/>
        <v>3.6366391393287366E-2</v>
      </c>
      <c r="H17" s="12"/>
      <c r="I17" s="34" t="str">
        <f t="shared" ref="I17:I21" si="3">+C17</f>
        <v>AWK</v>
      </c>
      <c r="J17" s="59">
        <f t="shared" ref="J17:J21" si="4">+D17</f>
        <v>131.99</v>
      </c>
      <c r="K17" s="61">
        <v>5.15</v>
      </c>
      <c r="L17" s="69">
        <f t="shared" ref="L17:L21" si="5">J17/K17</f>
        <v>25.629126213592233</v>
      </c>
      <c r="M17" s="56">
        <f t="shared" si="1"/>
        <v>3.9018107432381238E-2</v>
      </c>
      <c r="N17" s="12"/>
      <c r="O17" s="12"/>
    </row>
    <row r="18" spans="1:15" ht="17.5">
      <c r="A18" s="62" t="str">
        <f>+'S&amp;D'!A24</f>
        <v xml:space="preserve">California Water Service Group </v>
      </c>
      <c r="B18" s="62"/>
      <c r="C18" s="91" t="str">
        <f>+'S&amp;D'!B24</f>
        <v>CWT</v>
      </c>
      <c r="D18" s="59">
        <f>'S&amp;D'!G24</f>
        <v>51.87</v>
      </c>
      <c r="E18" s="61">
        <v>0.8</v>
      </c>
      <c r="F18" s="69">
        <f t="shared" si="2"/>
        <v>64.837499999999991</v>
      </c>
      <c r="G18" s="56">
        <f t="shared" si="0"/>
        <v>1.5423173317910162E-2</v>
      </c>
      <c r="H18" s="12"/>
      <c r="I18" s="34" t="str">
        <f t="shared" si="3"/>
        <v>CWT</v>
      </c>
      <c r="J18" s="59">
        <f t="shared" si="4"/>
        <v>51.87</v>
      </c>
      <c r="K18" s="61">
        <v>2.25</v>
      </c>
      <c r="L18" s="69">
        <f t="shared" si="5"/>
        <v>23.053333333333331</v>
      </c>
      <c r="M18" s="56">
        <f t="shared" si="1"/>
        <v>4.3377674956622328E-2</v>
      </c>
      <c r="N18" s="12"/>
      <c r="O18" s="12"/>
    </row>
    <row r="19" spans="1:15" ht="17.5">
      <c r="A19" s="62" t="str">
        <f>+'S&amp;D'!A25</f>
        <v>Essential Utilities, Inc.</v>
      </c>
      <c r="B19" s="62"/>
      <c r="C19" s="91" t="str">
        <f>+'S&amp;D'!B25</f>
        <v>WTRG</v>
      </c>
      <c r="D19" s="59">
        <f>'S&amp;D'!G25</f>
        <v>37.35</v>
      </c>
      <c r="E19" s="61">
        <v>1.85</v>
      </c>
      <c r="F19" s="69">
        <f>D19/E19</f>
        <v>20.189189189189189</v>
      </c>
      <c r="G19" s="56">
        <f t="shared" si="0"/>
        <v>4.9531459170013385E-2</v>
      </c>
      <c r="H19" s="12"/>
      <c r="I19" s="34" t="str">
        <f t="shared" si="3"/>
        <v>WTRG</v>
      </c>
      <c r="J19" s="59">
        <f t="shared" si="4"/>
        <v>37.35</v>
      </c>
      <c r="K19" s="61">
        <v>2</v>
      </c>
      <c r="L19" s="69">
        <f t="shared" si="5"/>
        <v>18.675000000000001</v>
      </c>
      <c r="M19" s="56">
        <f t="shared" si="1"/>
        <v>5.3547523427041499E-2</v>
      </c>
      <c r="N19" s="12"/>
      <c r="O19" s="12"/>
    </row>
    <row r="20" spans="1:15" ht="17.5">
      <c r="A20" s="62" t="str">
        <f>+'S&amp;D'!A26</f>
        <v>Middlesex Water Company</v>
      </c>
      <c r="B20" s="62"/>
      <c r="C20" s="91" t="str">
        <f>+'S&amp;D'!B26</f>
        <v>MSEX</v>
      </c>
      <c r="D20" s="59">
        <f>'S&amp;D'!G26</f>
        <v>65.62</v>
      </c>
      <c r="E20" s="61">
        <v>2.0499999999999998</v>
      </c>
      <c r="F20" s="69">
        <f t="shared" si="2"/>
        <v>32.009756097560981</v>
      </c>
      <c r="G20" s="56">
        <f t="shared" si="0"/>
        <v>3.1240475464797312E-2</v>
      </c>
      <c r="H20" s="12"/>
      <c r="I20" s="34" t="str">
        <f t="shared" si="3"/>
        <v>MSEX</v>
      </c>
      <c r="J20" s="59">
        <f t="shared" si="4"/>
        <v>65.62</v>
      </c>
      <c r="K20" s="61">
        <v>2.5499999999999998</v>
      </c>
      <c r="L20" s="69">
        <f t="shared" si="5"/>
        <v>25.733333333333338</v>
      </c>
      <c r="M20" s="56">
        <f t="shared" si="1"/>
        <v>3.8860103626942998E-2</v>
      </c>
      <c r="N20" s="12"/>
      <c r="O20" s="12"/>
    </row>
    <row r="21" spans="1:15" ht="17.5">
      <c r="A21" s="62" t="str">
        <f>+'S&amp;D'!A27</f>
        <v>SJW Corporation</v>
      </c>
      <c r="B21" s="62"/>
      <c r="C21" s="91" t="str">
        <f>+'S&amp;D'!B27</f>
        <v>SJW</v>
      </c>
      <c r="D21" s="59">
        <f>'S&amp;D'!G27</f>
        <v>65.650000000000006</v>
      </c>
      <c r="E21" s="61">
        <v>2.95</v>
      </c>
      <c r="F21" s="69">
        <f t="shared" si="2"/>
        <v>22.254237288135595</v>
      </c>
      <c r="G21" s="56">
        <f t="shared" si="0"/>
        <v>4.493526275704493E-2</v>
      </c>
      <c r="H21" s="12"/>
      <c r="I21" s="34" t="str">
        <f t="shared" si="3"/>
        <v>SJW</v>
      </c>
      <c r="J21" s="59">
        <f t="shared" si="4"/>
        <v>65.650000000000006</v>
      </c>
      <c r="K21" s="61">
        <v>3.15</v>
      </c>
      <c r="L21" s="69">
        <f t="shared" si="5"/>
        <v>20.841269841269845</v>
      </c>
      <c r="M21" s="56">
        <f t="shared" si="1"/>
        <v>4.7981721249047975E-2</v>
      </c>
      <c r="N21" s="12"/>
      <c r="O21" s="12"/>
    </row>
    <row r="22" spans="1:15" ht="18" thickBot="1">
      <c r="A22" s="12"/>
      <c r="B22" s="12"/>
      <c r="C22" s="70"/>
      <c r="D22" s="70"/>
      <c r="E22" s="70"/>
      <c r="F22" s="70"/>
      <c r="G22" s="70"/>
      <c r="H22" s="12"/>
      <c r="I22" s="70"/>
      <c r="J22" s="64" t="s">
        <v>0</v>
      </c>
      <c r="K22" s="70"/>
      <c r="L22" s="70"/>
      <c r="M22" s="70"/>
      <c r="N22" s="12"/>
      <c r="O22" s="12"/>
    </row>
    <row r="23" spans="1:15" ht="17.5" thickTop="1">
      <c r="A23" s="12"/>
      <c r="B23" s="12"/>
      <c r="C23" s="14" t="s">
        <v>45</v>
      </c>
      <c r="D23" s="71">
        <f>MAX(D16:D21)</f>
        <v>131.99</v>
      </c>
      <c r="E23" s="71">
        <f t="shared" ref="E23:G23" si="6">MAX(E16:E21)</f>
        <v>4.8</v>
      </c>
      <c r="F23" s="71">
        <f t="shared" si="6"/>
        <v>64.837499999999991</v>
      </c>
      <c r="G23" s="52">
        <f t="shared" si="6"/>
        <v>4.9531459170013385E-2</v>
      </c>
      <c r="H23" s="12"/>
      <c r="I23" s="14" t="s">
        <v>45</v>
      </c>
      <c r="J23" s="71">
        <f>+MAX(J16:J21)</f>
        <v>131.99</v>
      </c>
      <c r="K23" s="71">
        <f t="shared" ref="K23:L23" si="7">+MAX(K16:K21)</f>
        <v>5.15</v>
      </c>
      <c r="L23" s="71">
        <f t="shared" si="7"/>
        <v>26.806666666666668</v>
      </c>
      <c r="M23" s="339">
        <f>+MAX(M16:M21)</f>
        <v>5.3547523427041499E-2</v>
      </c>
      <c r="N23" s="12"/>
      <c r="O23" s="12"/>
    </row>
    <row r="24" spans="1:15" ht="17">
      <c r="A24" s="12"/>
      <c r="B24" s="12"/>
      <c r="C24" s="14" t="s">
        <v>46</v>
      </c>
      <c r="D24" s="366">
        <f>MIN(D16:D21)</f>
        <v>37.35</v>
      </c>
      <c r="E24" s="366">
        <f t="shared" ref="E24:G24" si="8">MIN(E16:E21)</f>
        <v>0.8</v>
      </c>
      <c r="F24" s="366">
        <f t="shared" si="8"/>
        <v>20.189189189189189</v>
      </c>
      <c r="G24" s="369">
        <f t="shared" si="8"/>
        <v>1.5423173317910162E-2</v>
      </c>
      <c r="H24" s="12"/>
      <c r="I24" s="14" t="s">
        <v>46</v>
      </c>
      <c r="J24" s="366">
        <f>+MIN(J16:J21)</f>
        <v>37.35</v>
      </c>
      <c r="K24" s="366">
        <f t="shared" ref="K24:L24" si="9">+MIN(K16:K21)</f>
        <v>2</v>
      </c>
      <c r="L24" s="366">
        <f t="shared" si="9"/>
        <v>18.675000000000001</v>
      </c>
      <c r="M24" s="367">
        <f>+MIN(M16:M21)</f>
        <v>3.7304153195722452E-2</v>
      </c>
      <c r="N24" s="12"/>
      <c r="O24" s="12"/>
    </row>
    <row r="25" spans="1:15" ht="17">
      <c r="A25" s="12"/>
      <c r="B25" s="12"/>
      <c r="C25" s="14" t="s">
        <v>18</v>
      </c>
      <c r="D25" s="72">
        <f>MEDIAN(D16:D21)</f>
        <v>65.635000000000005</v>
      </c>
      <c r="E25" s="73">
        <f>MEDIAN(E16:E21)</f>
        <v>2.5</v>
      </c>
      <c r="F25" s="21">
        <f>MEDIAN(F16:F21)</f>
        <v>25.751943407960198</v>
      </c>
      <c r="G25" s="56">
        <f>MEDIAN(G16:G21)</f>
        <v>3.901134789758872E-2</v>
      </c>
      <c r="H25" s="12"/>
      <c r="I25" s="14" t="s">
        <v>18</v>
      </c>
      <c r="J25" s="72">
        <f>MEDIAN(J16:J21)</f>
        <v>65.635000000000005</v>
      </c>
      <c r="K25" s="73">
        <f>MEDIAN(K16:K21)</f>
        <v>2.7749999999999999</v>
      </c>
      <c r="L25" s="21">
        <f>MEDIAN(L16:L21)</f>
        <v>24.341229773462782</v>
      </c>
      <c r="M25" s="56">
        <f>MEDIAN(M16:M21)</f>
        <v>4.1197891194501783E-2</v>
      </c>
      <c r="N25" s="12"/>
      <c r="O25" s="12"/>
    </row>
    <row r="26" spans="1:15" ht="17">
      <c r="A26" s="12"/>
      <c r="B26" s="12"/>
      <c r="C26" s="14" t="s">
        <v>409</v>
      </c>
      <c r="D26" s="21">
        <f>AVERAGE(D16:D21)</f>
        <v>72.15000000000002</v>
      </c>
      <c r="E26" s="17">
        <f>AVERAGE(E16:E21)</f>
        <v>2.6333333333333333</v>
      </c>
      <c r="F26" s="21">
        <f>AVERAGE(F16:F21)</f>
        <v>31.79909489846769</v>
      </c>
      <c r="G26" s="74">
        <f>AVERAGE(G16:G21)</f>
        <v>3.6525511084157206E-2</v>
      </c>
      <c r="H26" s="12"/>
      <c r="I26" s="14" t="s">
        <v>409</v>
      </c>
      <c r="J26" s="21">
        <f>AVERAGE(J16:J21)</f>
        <v>72.15000000000002</v>
      </c>
      <c r="K26" s="17">
        <f>AVERAGE(K16:K21)</f>
        <v>3.0166666666666662</v>
      </c>
      <c r="L26" s="21">
        <f>AVERAGE(L16:L21)</f>
        <v>23.456454898032565</v>
      </c>
      <c r="M26" s="74">
        <f>AVERAGE(M16:M21)</f>
        <v>4.3348213981293078E-2</v>
      </c>
      <c r="N26" s="12"/>
      <c r="O26" s="12"/>
    </row>
    <row r="27" spans="1:15" ht="17">
      <c r="A27" s="12"/>
      <c r="B27" s="12"/>
      <c r="C27" s="12"/>
      <c r="D27" s="12"/>
      <c r="E27" s="12"/>
      <c r="F27" s="12"/>
      <c r="G27" s="12"/>
      <c r="H27" s="12"/>
      <c r="I27" s="12"/>
      <c r="J27" s="12"/>
      <c r="K27" s="12"/>
      <c r="L27" s="12"/>
      <c r="M27" s="12"/>
      <c r="N27" s="12"/>
      <c r="O27" s="12"/>
    </row>
    <row r="28" spans="1:15" ht="25.5">
      <c r="A28" s="12"/>
      <c r="B28" s="12"/>
      <c r="C28" s="12"/>
      <c r="D28" s="12"/>
      <c r="E28" s="78" t="s">
        <v>73</v>
      </c>
      <c r="F28" s="343">
        <v>31.8</v>
      </c>
      <c r="G28" s="341">
        <v>3.6499999999999998E-2</v>
      </c>
      <c r="H28" s="12"/>
      <c r="I28" s="12"/>
      <c r="J28" s="12"/>
      <c r="K28" s="78" t="s">
        <v>73</v>
      </c>
      <c r="L28" s="343">
        <v>23.46</v>
      </c>
      <c r="M28" s="341">
        <v>4.3299999999999998E-2</v>
      </c>
      <c r="N28" s="12"/>
      <c r="O28" s="12"/>
    </row>
    <row r="29" spans="1:15" ht="17">
      <c r="A29" s="12"/>
      <c r="B29" s="12"/>
      <c r="C29" s="12"/>
      <c r="D29" s="12"/>
      <c r="E29" s="12"/>
      <c r="F29" s="12"/>
      <c r="K29" s="12"/>
      <c r="L29" s="12"/>
      <c r="M29" s="12"/>
      <c r="N29" s="12"/>
      <c r="O29" s="12"/>
    </row>
    <row r="30" spans="1:15" ht="30" customHeight="1">
      <c r="A30" s="12"/>
      <c r="B30" s="12"/>
      <c r="C30" s="12"/>
      <c r="D30" s="12"/>
      <c r="E30" s="12"/>
      <c r="F30" s="12"/>
      <c r="K30" s="12"/>
      <c r="L30" s="12"/>
      <c r="M30" s="12"/>
      <c r="N30" s="12"/>
      <c r="O30" s="12"/>
    </row>
    <row r="31" spans="1:15" ht="17.5" thickBot="1">
      <c r="A31" s="12"/>
      <c r="B31" s="12"/>
      <c r="C31" s="12"/>
      <c r="D31" s="12"/>
      <c r="E31" s="12"/>
      <c r="F31" s="12"/>
      <c r="K31" s="12"/>
      <c r="L31" s="12"/>
      <c r="M31" s="12"/>
      <c r="N31" s="12"/>
      <c r="O31" s="12"/>
    </row>
    <row r="32" spans="1:15" ht="30.75" customHeight="1" thickBot="1">
      <c r="A32" s="76" t="s">
        <v>0</v>
      </c>
      <c r="B32" s="76"/>
      <c r="C32" s="12"/>
      <c r="D32" s="12"/>
      <c r="E32" s="12"/>
      <c r="G32" s="23" t="s">
        <v>123</v>
      </c>
      <c r="H32" s="12"/>
      <c r="I32" s="235">
        <f>(+F28+L28)/2</f>
        <v>27.630000000000003</v>
      </c>
      <c r="J32" s="236">
        <f>(+G28+M28)/2</f>
        <v>3.9899999999999998E-2</v>
      </c>
      <c r="N32" s="12"/>
      <c r="O32" s="12"/>
    </row>
    <row r="33" spans="1:15" ht="17">
      <c r="A33" s="76" t="s">
        <v>0</v>
      </c>
      <c r="B33" s="76"/>
      <c r="C33" s="12"/>
      <c r="D33" s="12"/>
      <c r="E33" s="12"/>
      <c r="F33" s="12"/>
      <c r="G33" s="12"/>
      <c r="H33" s="12"/>
      <c r="I33" s="12"/>
      <c r="J33" s="12"/>
      <c r="K33" s="12"/>
      <c r="L33" s="12"/>
      <c r="M33" s="12"/>
      <c r="N33" s="12"/>
      <c r="O33" s="12"/>
    </row>
    <row r="34" spans="1:15" ht="17">
      <c r="A34" s="12"/>
      <c r="B34" s="12"/>
      <c r="C34" s="12"/>
      <c r="D34" s="12"/>
      <c r="E34" s="12"/>
      <c r="F34" s="12"/>
      <c r="G34" s="12"/>
      <c r="H34" s="12"/>
      <c r="I34" s="12"/>
      <c r="J34" s="12"/>
      <c r="K34" s="12"/>
      <c r="L34" s="12"/>
      <c r="M34" s="12"/>
      <c r="N34" s="12"/>
      <c r="O34" s="12"/>
    </row>
    <row r="35" spans="1:15" ht="17">
      <c r="B35" s="12"/>
      <c r="C35" s="12"/>
      <c r="D35" s="12"/>
      <c r="E35" s="12"/>
      <c r="F35" s="12"/>
      <c r="G35" s="12"/>
      <c r="H35" s="12"/>
    </row>
    <row r="36" spans="1:15" ht="17">
      <c r="B36" s="12"/>
      <c r="C36" s="12"/>
      <c r="D36" s="26" t="s">
        <v>0</v>
      </c>
      <c r="E36" s="12"/>
      <c r="F36" s="12"/>
      <c r="G36" s="12"/>
      <c r="H36" s="12"/>
    </row>
    <row r="37" spans="1:15" ht="17.5" thickBot="1">
      <c r="B37" s="12"/>
      <c r="C37" s="12"/>
      <c r="D37" s="12"/>
      <c r="E37" s="12"/>
      <c r="F37" s="12"/>
      <c r="G37" s="12"/>
      <c r="H37" s="12"/>
    </row>
    <row r="38" spans="1:15" ht="17.5" thickBot="1">
      <c r="A38" s="199"/>
      <c r="B38" s="12"/>
      <c r="C38" s="12"/>
      <c r="D38" s="12"/>
      <c r="E38" s="12"/>
      <c r="F38" s="12"/>
      <c r="G38" s="12"/>
    </row>
    <row r="39" spans="1:15" ht="17.5" thickBot="1">
      <c r="C39" s="28"/>
      <c r="D39" s="28"/>
      <c r="E39" s="28"/>
      <c r="F39" s="28"/>
      <c r="G39" s="28"/>
    </row>
    <row r="40" spans="1:15" ht="25.5">
      <c r="A40" s="62"/>
      <c r="C40" s="12"/>
      <c r="D40" s="12"/>
      <c r="E40" s="31" t="s">
        <v>494</v>
      </c>
      <c r="F40" s="12"/>
      <c r="G40" s="12"/>
    </row>
    <row r="41" spans="1:15" ht="17.5" thickBot="1">
      <c r="C41" s="28"/>
      <c r="D41" s="28"/>
      <c r="E41" s="36" t="s">
        <v>453</v>
      </c>
      <c r="F41" s="28"/>
      <c r="G41" s="28"/>
    </row>
    <row r="42" spans="1:15" ht="15.5" thickBot="1">
      <c r="A42" s="33" t="s">
        <v>0</v>
      </c>
      <c r="C42" s="33" t="s">
        <v>0</v>
      </c>
      <c r="D42" s="33" t="s">
        <v>0</v>
      </c>
      <c r="E42" s="33" t="s">
        <v>0</v>
      </c>
      <c r="F42" s="33" t="s">
        <v>0</v>
      </c>
      <c r="G42" s="33" t="s">
        <v>0</v>
      </c>
    </row>
    <row r="43" spans="1:15" ht="17">
      <c r="A43" s="34" t="s">
        <v>0</v>
      </c>
      <c r="C43" s="34" t="s">
        <v>3</v>
      </c>
      <c r="D43" s="34" t="s">
        <v>368</v>
      </c>
      <c r="E43" s="34" t="s">
        <v>370</v>
      </c>
      <c r="F43" s="34" t="s">
        <v>110</v>
      </c>
      <c r="G43" s="34" t="s">
        <v>26</v>
      </c>
    </row>
    <row r="44" spans="1:15" ht="17.5" thickBot="1">
      <c r="A44" s="36" t="s">
        <v>2</v>
      </c>
      <c r="C44" s="36" t="s">
        <v>4</v>
      </c>
      <c r="D44" s="36" t="s">
        <v>27</v>
      </c>
      <c r="E44" s="36" t="s">
        <v>168</v>
      </c>
      <c r="F44" s="36" t="s">
        <v>28</v>
      </c>
      <c r="G44" s="36" t="s">
        <v>29</v>
      </c>
    </row>
    <row r="45" spans="1:15" ht="16">
      <c r="A45" s="38" t="s">
        <v>0</v>
      </c>
      <c r="C45" s="38" t="s">
        <v>0</v>
      </c>
      <c r="D45" s="39" t="s">
        <v>112</v>
      </c>
      <c r="E45" s="77" t="s">
        <v>242</v>
      </c>
      <c r="F45" s="38" t="s">
        <v>0</v>
      </c>
      <c r="G45" s="38" t="s">
        <v>0</v>
      </c>
    </row>
    <row r="46" spans="1:15" ht="17">
      <c r="A46" s="34"/>
      <c r="C46" s="34"/>
      <c r="D46" s="34"/>
      <c r="E46" s="34"/>
      <c r="F46" s="34"/>
      <c r="G46" s="34"/>
    </row>
    <row r="47" spans="1:15" ht="17">
      <c r="A47" s="12"/>
      <c r="C47" s="12"/>
      <c r="D47" s="12"/>
      <c r="E47" s="12"/>
      <c r="F47" s="12"/>
      <c r="G47" s="12"/>
    </row>
    <row r="48" spans="1:15" ht="17.5">
      <c r="A48" s="62" t="str">
        <f>+'S&amp;D'!A22</f>
        <v>American States Water Company</v>
      </c>
      <c r="C48" s="91" t="str">
        <f>+'S&amp;D'!B22</f>
        <v>AWR</v>
      </c>
      <c r="D48" s="59">
        <f>'S&amp;D'!G22</f>
        <v>80.42</v>
      </c>
      <c r="E48" s="394">
        <f>+Earnings!I16</f>
        <v>3.4</v>
      </c>
      <c r="F48" s="73">
        <f t="shared" ref="F48:F53" si="10">D48/E48</f>
        <v>23.652941176470588</v>
      </c>
      <c r="G48" s="56">
        <f t="shared" ref="G48:G53" si="11">1/F48</f>
        <v>4.2278040288485454E-2</v>
      </c>
    </row>
    <row r="49" spans="1:7" ht="17.5">
      <c r="A49" s="62" t="str">
        <f>+'S&amp;D'!A23</f>
        <v>American Water Works Company Inc</v>
      </c>
      <c r="C49" s="91" t="str">
        <f>+'S&amp;D'!B23</f>
        <v>AWK</v>
      </c>
      <c r="D49" s="59">
        <f>'S&amp;D'!G23</f>
        <v>131.99</v>
      </c>
      <c r="E49" s="394">
        <f>+Earnings!I17</f>
        <v>6.1</v>
      </c>
      <c r="F49" s="73">
        <f t="shared" si="10"/>
        <v>21.637704918032789</v>
      </c>
      <c r="G49" s="56">
        <f t="shared" si="11"/>
        <v>4.6215622395636029E-2</v>
      </c>
    </row>
    <row r="50" spans="1:7" ht="17.5">
      <c r="A50" s="62" t="str">
        <f>+'S&amp;D'!A24</f>
        <v xml:space="preserve">California Water Service Group </v>
      </c>
      <c r="C50" s="91" t="str">
        <f>+'S&amp;D'!B24</f>
        <v>CWT</v>
      </c>
      <c r="D50" s="59">
        <f>'S&amp;D'!G24</f>
        <v>51.87</v>
      </c>
      <c r="E50" s="394">
        <f>+Earnings!I18</f>
        <v>2.75</v>
      </c>
      <c r="F50" s="73">
        <f t="shared" si="10"/>
        <v>18.86181818181818</v>
      </c>
      <c r="G50" s="56">
        <f t="shared" si="11"/>
        <v>5.3017158280316182E-2</v>
      </c>
    </row>
    <row r="51" spans="1:7" ht="17.5">
      <c r="A51" s="62" t="str">
        <f>+'S&amp;D'!A25</f>
        <v>Essential Utilities, Inc.</v>
      </c>
      <c r="C51" s="91" t="str">
        <f>+'S&amp;D'!B25</f>
        <v>WTRG</v>
      </c>
      <c r="D51" s="59">
        <f>'S&amp;D'!G25</f>
        <v>37.35</v>
      </c>
      <c r="E51" s="394">
        <f>+Earnings!I19</f>
        <v>2.35</v>
      </c>
      <c r="F51" s="73">
        <f t="shared" si="10"/>
        <v>15.893617021276595</v>
      </c>
      <c r="G51" s="56">
        <f t="shared" si="11"/>
        <v>6.2918340026773767E-2</v>
      </c>
    </row>
    <row r="52" spans="1:7" ht="17.5">
      <c r="A52" s="62" t="str">
        <f>+'S&amp;D'!A26</f>
        <v>Middlesex Water Company</v>
      </c>
      <c r="C52" s="91" t="str">
        <f>+'S&amp;D'!B26</f>
        <v>MSEX</v>
      </c>
      <c r="D52" s="59">
        <f>'S&amp;D'!G26</f>
        <v>65.62</v>
      </c>
      <c r="E52" s="394">
        <f>+Earnings!I20</f>
        <v>3</v>
      </c>
      <c r="F52" s="73">
        <f t="shared" si="10"/>
        <v>21.873333333333335</v>
      </c>
      <c r="G52" s="56">
        <f t="shared" si="11"/>
        <v>4.571776897287412E-2</v>
      </c>
    </row>
    <row r="53" spans="1:7" ht="17.5">
      <c r="A53" s="62" t="str">
        <f>+'S&amp;D'!A27</f>
        <v>SJW Corporation</v>
      </c>
      <c r="C53" s="91" t="str">
        <f>+'S&amp;D'!B27</f>
        <v>SJW</v>
      </c>
      <c r="D53" s="59">
        <f>'S&amp;D'!G27</f>
        <v>65.650000000000006</v>
      </c>
      <c r="E53" s="394">
        <f>+Earnings!I21</f>
        <v>3.45</v>
      </c>
      <c r="F53" s="73">
        <f t="shared" si="10"/>
        <v>19.028985507246379</v>
      </c>
      <c r="G53" s="56">
        <f t="shared" si="11"/>
        <v>5.2551408987052545E-2</v>
      </c>
    </row>
    <row r="54" spans="1:7" ht="17.5" thickBot="1">
      <c r="D54" s="70"/>
      <c r="E54" s="70"/>
      <c r="F54" s="70"/>
      <c r="G54" s="70"/>
    </row>
    <row r="55" spans="1:7" ht="17.5" thickTop="1">
      <c r="A55" s="12"/>
      <c r="D55" s="14" t="s">
        <v>45</v>
      </c>
      <c r="E55" s="71">
        <f>+MAX(E48:E53)</f>
        <v>6.1</v>
      </c>
      <c r="F55" s="71">
        <f>+MAX(F48:F53)</f>
        <v>23.652941176470588</v>
      </c>
      <c r="G55" s="339">
        <f>+MAX(G48:G53)</f>
        <v>6.2918340026773767E-2</v>
      </c>
    </row>
    <row r="56" spans="1:7" ht="17">
      <c r="A56" s="12"/>
      <c r="D56" s="14" t="s">
        <v>46</v>
      </c>
      <c r="E56" s="71">
        <f>+MIN(E48:E53)</f>
        <v>2.35</v>
      </c>
      <c r="F56" s="71">
        <f>+MIN(F48:F53)</f>
        <v>15.893617021276595</v>
      </c>
      <c r="G56" s="339">
        <f>+MIN(G48:G53)</f>
        <v>4.2278040288485454E-2</v>
      </c>
    </row>
    <row r="57" spans="1:7" ht="17">
      <c r="A57" s="12"/>
      <c r="D57" s="14" t="s">
        <v>18</v>
      </c>
      <c r="E57" s="73">
        <f>MEDIAN(E48:E53)</f>
        <v>3.2</v>
      </c>
      <c r="F57" s="21">
        <f>MEDIAN(F48:F53)</f>
        <v>20.333345212639585</v>
      </c>
      <c r="G57" s="56">
        <f>MEDIAN(G48:G53)</f>
        <v>4.938351569134429E-2</v>
      </c>
    </row>
    <row r="58" spans="1:7" ht="17">
      <c r="A58" s="12"/>
      <c r="D58" s="14" t="s">
        <v>409</v>
      </c>
      <c r="E58" s="17">
        <f>AVERAGE(E48:E53)</f>
        <v>3.5083333333333333</v>
      </c>
      <c r="F58" s="21">
        <f>AVERAGE(F48:F53)</f>
        <v>20.158066689696309</v>
      </c>
      <c r="G58" s="74">
        <f>AVERAGE(G48:G53)</f>
        <v>5.0449723158523009E-2</v>
      </c>
    </row>
    <row r="59" spans="1:7" ht="17">
      <c r="A59" s="12"/>
      <c r="C59" s="12"/>
      <c r="D59" s="12"/>
      <c r="E59" s="12"/>
      <c r="F59" s="12"/>
      <c r="G59" s="12"/>
    </row>
    <row r="60" spans="1:7" ht="25.5">
      <c r="A60" s="12"/>
      <c r="C60" s="12"/>
      <c r="D60" s="12"/>
      <c r="E60" s="49" t="s">
        <v>73</v>
      </c>
      <c r="F60" s="463">
        <v>20.16</v>
      </c>
      <c r="G60" s="464">
        <v>5.04E-2</v>
      </c>
    </row>
    <row r="61" spans="1:7" ht="17">
      <c r="A61" s="12"/>
      <c r="G61" s="12"/>
    </row>
    <row r="62" spans="1:7" ht="17">
      <c r="A62" s="12"/>
      <c r="B62" s="12"/>
      <c r="C62" s="12"/>
      <c r="D62" s="12"/>
      <c r="E62" s="12"/>
    </row>
    <row r="63" spans="1:7" ht="17">
      <c r="A63" s="12"/>
      <c r="B63" s="12"/>
      <c r="C63" s="12"/>
      <c r="D63" s="12"/>
      <c r="E63" s="12"/>
    </row>
    <row r="64" spans="1:7" ht="17">
      <c r="A64" s="12"/>
      <c r="B64" s="12"/>
      <c r="C64" s="12"/>
      <c r="D64" s="12"/>
      <c r="E64" s="12"/>
    </row>
    <row r="65" spans="1:8" ht="17">
      <c r="A65" s="76" t="s">
        <v>0</v>
      </c>
      <c r="B65" s="12"/>
      <c r="C65" s="12"/>
      <c r="D65" s="12"/>
      <c r="E65" s="12"/>
    </row>
    <row r="66" spans="1:8" ht="17">
      <c r="A66" s="76" t="s">
        <v>0</v>
      </c>
      <c r="B66" s="12"/>
      <c r="C66" s="12"/>
      <c r="D66" s="12"/>
      <c r="E66" s="12"/>
      <c r="F66" s="12"/>
      <c r="G66" s="12"/>
      <c r="H66" s="12"/>
    </row>
    <row r="67" spans="1:8" ht="17">
      <c r="A67" s="12"/>
      <c r="B67" s="12"/>
      <c r="C67" s="12"/>
      <c r="D67" s="12"/>
      <c r="E67" s="12"/>
      <c r="F67" s="12"/>
      <c r="G67" s="12"/>
      <c r="H67" s="12"/>
    </row>
  </sheetData>
  <pageMargins left="0.25" right="0.25" top="0.75" bottom="0.75" header="0.3" footer="0.3"/>
  <pageSetup scale="3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3AA241-0A64-46CC-9E60-C6F323522AA0}">
  <sheetPr>
    <tabColor rgb="FF92D050"/>
  </sheetPr>
  <dimension ref="A1:K118"/>
  <sheetViews>
    <sheetView view="pageBreakPreview" topLeftCell="A89" zoomScale="60" zoomScaleNormal="80" workbookViewId="0">
      <selection activeCell="G100" sqref="G100"/>
    </sheetView>
  </sheetViews>
  <sheetFormatPr defaultRowHeight="14.5"/>
  <cols>
    <col min="1" max="1" width="62.453125" customWidth="1"/>
    <col min="2" max="2" width="25.7265625" customWidth="1"/>
    <col min="3" max="3" width="30.26953125" customWidth="1"/>
    <col min="4" max="5" width="30.54296875" customWidth="1"/>
    <col min="6" max="6" width="28.1796875" customWidth="1"/>
    <col min="7" max="7" width="32.7265625" customWidth="1"/>
    <col min="8" max="8" width="39.453125" customWidth="1"/>
    <col min="9" max="9" width="52" customWidth="1"/>
    <col min="10" max="10" width="13.81640625" customWidth="1"/>
    <col min="11" max="12" width="14.1796875" bestFit="1" customWidth="1"/>
  </cols>
  <sheetData>
    <row r="1" spans="1:11" ht="25.5">
      <c r="A1" s="23" t="s">
        <v>1</v>
      </c>
      <c r="C1" s="23"/>
      <c r="D1" s="23"/>
      <c r="E1" s="12"/>
      <c r="F1" s="12"/>
      <c r="G1" s="12"/>
      <c r="H1" s="12"/>
      <c r="I1" s="12"/>
      <c r="J1" s="12"/>
      <c r="K1" s="12"/>
    </row>
    <row r="2" spans="1:11" ht="17.5">
      <c r="A2" s="24" t="s">
        <v>9</v>
      </c>
      <c r="C2" s="24"/>
      <c r="D2" s="24"/>
      <c r="E2" s="12"/>
      <c r="F2" s="12"/>
      <c r="G2" s="12"/>
      <c r="H2" s="12"/>
      <c r="I2" s="12"/>
      <c r="J2" s="12"/>
      <c r="K2" s="12"/>
    </row>
    <row r="3" spans="1:11" ht="17">
      <c r="A3" s="25" t="s">
        <v>452</v>
      </c>
      <c r="C3" s="25"/>
      <c r="D3" s="25"/>
      <c r="E3" s="12"/>
      <c r="F3" s="12"/>
      <c r="G3" s="12"/>
      <c r="H3" s="12"/>
      <c r="I3" s="12"/>
      <c r="J3" s="12"/>
      <c r="K3" s="12"/>
    </row>
    <row r="4" spans="1:11" ht="17">
      <c r="B4" s="25"/>
      <c r="C4" s="25"/>
      <c r="D4" s="25"/>
      <c r="E4" s="12"/>
      <c r="F4" s="12"/>
      <c r="G4" s="12"/>
      <c r="H4" s="12"/>
      <c r="I4" s="12"/>
      <c r="J4" s="12"/>
      <c r="K4" s="12"/>
    </row>
    <row r="5" spans="1:11" ht="17">
      <c r="B5" s="12"/>
      <c r="C5" s="12"/>
      <c r="D5" s="12"/>
      <c r="E5" s="12"/>
      <c r="F5" s="12"/>
      <c r="G5" s="12"/>
      <c r="H5" s="12"/>
      <c r="I5" s="26" t="s">
        <v>0</v>
      </c>
      <c r="J5" s="26"/>
      <c r="K5" s="12"/>
    </row>
    <row r="6" spans="1:11" ht="17.5" thickBot="1">
      <c r="B6" s="12"/>
      <c r="C6" s="12"/>
      <c r="D6" s="28"/>
      <c r="E6" s="28"/>
      <c r="F6" s="158"/>
      <c r="H6" s="12"/>
      <c r="I6" s="12"/>
      <c r="J6" s="12"/>
      <c r="K6" s="12"/>
    </row>
    <row r="7" spans="1:11" ht="26" thickBot="1">
      <c r="A7" s="27" t="str">
        <f>+'S&amp;D'!A12</f>
        <v>Water Utility Companies (Private)</v>
      </c>
      <c r="C7" s="30"/>
      <c r="D7" s="30"/>
      <c r="E7" s="31" t="s">
        <v>255</v>
      </c>
      <c r="H7" s="12"/>
      <c r="I7" s="12"/>
      <c r="J7" s="12"/>
      <c r="K7" s="12"/>
    </row>
    <row r="8" spans="1:11" ht="21.5" thickBot="1">
      <c r="B8" s="30"/>
      <c r="C8" s="30"/>
      <c r="D8" s="159"/>
      <c r="E8" s="36" t="s">
        <v>453</v>
      </c>
      <c r="F8" s="158"/>
      <c r="H8" s="12"/>
      <c r="I8" s="12"/>
      <c r="J8" s="12"/>
      <c r="K8" s="12"/>
    </row>
    <row r="9" spans="1:11" ht="21">
      <c r="B9" s="30"/>
      <c r="C9" s="30"/>
      <c r="D9" s="30"/>
      <c r="E9" s="34"/>
      <c r="H9" s="12"/>
      <c r="I9" s="12"/>
      <c r="J9" s="12"/>
      <c r="K9" s="12"/>
    </row>
    <row r="10" spans="1:11" ht="21.5" thickBot="1">
      <c r="A10" s="159"/>
      <c r="B10" s="30"/>
      <c r="I10" s="12"/>
      <c r="J10" s="12"/>
      <c r="K10" s="12"/>
    </row>
    <row r="11" spans="1:11" ht="22.5" customHeight="1" thickBot="1">
      <c r="A11" s="171" t="s">
        <v>250</v>
      </c>
      <c r="B11" s="30"/>
      <c r="I11" s="12"/>
      <c r="J11" s="12"/>
      <c r="K11" s="12"/>
    </row>
    <row r="12" spans="1:11" ht="26.25" customHeight="1" thickBot="1">
      <c r="A12" s="170" t="s">
        <v>0</v>
      </c>
      <c r="B12" s="12"/>
      <c r="C12" s="12"/>
      <c r="D12" s="12"/>
      <c r="E12" s="12"/>
      <c r="F12" s="12"/>
      <c r="G12" s="12"/>
      <c r="H12" s="12"/>
      <c r="I12" s="12"/>
      <c r="J12" s="12"/>
      <c r="K12" s="12"/>
    </row>
    <row r="13" spans="1:11" ht="66.75" customHeight="1" thickBot="1">
      <c r="A13" s="240" t="s">
        <v>271</v>
      </c>
      <c r="B13" s="165" t="s">
        <v>314</v>
      </c>
      <c r="C13" s="165" t="s">
        <v>280</v>
      </c>
      <c r="D13" s="165" t="s">
        <v>279</v>
      </c>
      <c r="I13" s="12"/>
      <c r="J13" s="12"/>
      <c r="K13" s="12"/>
    </row>
    <row r="14" spans="1:11" ht="17">
      <c r="A14" s="160"/>
      <c r="B14" s="226"/>
      <c r="C14" s="226"/>
      <c r="D14" s="226"/>
      <c r="I14" s="12"/>
      <c r="J14" s="12"/>
      <c r="K14" s="12"/>
    </row>
    <row r="15" spans="1:11" ht="21">
      <c r="A15" s="168" t="str">
        <f>+A7</f>
        <v>Water Utility Companies (Private)</v>
      </c>
      <c r="B15" s="411">
        <v>0</v>
      </c>
      <c r="C15" s="252">
        <f>+'Dividends '!K25</f>
        <v>7.4104209892846995E-2</v>
      </c>
      <c r="D15" s="252">
        <f>+Earnings!K25</f>
        <v>5.5447169611537894E-2</v>
      </c>
      <c r="I15" s="12"/>
      <c r="J15" s="12"/>
      <c r="K15" s="12"/>
    </row>
    <row r="16" spans="1:11" ht="21.5" thickBot="1">
      <c r="A16" s="162" t="s">
        <v>0</v>
      </c>
      <c r="B16" s="227" t="s">
        <v>0</v>
      </c>
      <c r="C16" s="278">
        <f>+'Dividends '!K26</f>
        <v>7.1466454039686461E-2</v>
      </c>
      <c r="D16" s="278">
        <f>+Earnings!K26</f>
        <v>5.1919617270032747E-2</v>
      </c>
      <c r="I16" s="12"/>
      <c r="J16" s="12"/>
      <c r="K16" s="12"/>
    </row>
    <row r="17" spans="1:11" ht="21">
      <c r="A17" s="238"/>
      <c r="B17" s="239"/>
      <c r="I17" s="12"/>
      <c r="J17" s="12"/>
      <c r="K17" s="12"/>
    </row>
    <row r="18" spans="1:11" ht="17">
      <c r="A18" s="12"/>
      <c r="B18" s="12"/>
      <c r="C18" s="12"/>
      <c r="D18" s="12"/>
      <c r="E18" s="12"/>
      <c r="F18" s="12"/>
      <c r="G18" s="12"/>
      <c r="H18" s="12"/>
      <c r="I18" s="12"/>
      <c r="J18" s="12"/>
      <c r="K18" s="12"/>
    </row>
    <row r="19" spans="1:11" ht="17.5" thickBot="1">
      <c r="A19" s="12"/>
      <c r="B19" s="12"/>
      <c r="C19" s="12"/>
      <c r="D19" s="12"/>
      <c r="E19" s="12"/>
      <c r="F19" s="12"/>
      <c r="G19" s="12"/>
      <c r="H19" s="12"/>
      <c r="I19" s="12"/>
      <c r="J19" s="12"/>
      <c r="K19" s="12"/>
    </row>
    <row r="20" spans="1:11" ht="21.5" thickBot="1">
      <c r="A20" s="171" t="s">
        <v>270</v>
      </c>
      <c r="B20" s="30"/>
      <c r="I20" s="12"/>
      <c r="J20" s="12"/>
      <c r="K20" s="12"/>
    </row>
    <row r="21" spans="1:11" ht="18" thickBot="1">
      <c r="A21" s="170" t="s">
        <v>0</v>
      </c>
      <c r="B21" s="12"/>
      <c r="C21" s="12"/>
      <c r="D21" s="12"/>
      <c r="E21" s="12"/>
      <c r="F21" s="12"/>
      <c r="G21" s="12"/>
      <c r="H21" s="12"/>
      <c r="I21" s="12"/>
      <c r="J21" s="12"/>
      <c r="K21" s="12"/>
    </row>
    <row r="22" spans="1:11" ht="64.5" customHeight="1" thickBot="1">
      <c r="A22" s="240" t="s">
        <v>272</v>
      </c>
      <c r="B22" s="165" t="s">
        <v>313</v>
      </c>
      <c r="C22" s="164" t="s">
        <v>229</v>
      </c>
      <c r="D22" s="165" t="s">
        <v>230</v>
      </c>
      <c r="E22" s="165" t="s">
        <v>231</v>
      </c>
      <c r="F22" s="165" t="s">
        <v>314</v>
      </c>
      <c r="G22" s="279" t="s">
        <v>18</v>
      </c>
      <c r="H22" s="279" t="s">
        <v>19</v>
      </c>
      <c r="I22" s="12"/>
      <c r="J22" s="12"/>
      <c r="K22" s="12"/>
    </row>
    <row r="23" spans="1:11" ht="17">
      <c r="A23" s="160"/>
      <c r="B23" s="226"/>
      <c r="C23" s="113"/>
      <c r="D23" s="226"/>
      <c r="E23" s="226"/>
      <c r="F23" s="226"/>
      <c r="G23" s="362"/>
      <c r="H23" s="173"/>
      <c r="I23" s="12"/>
      <c r="J23" s="12"/>
      <c r="K23" s="12"/>
    </row>
    <row r="24" spans="1:11" ht="21">
      <c r="A24" s="168" t="str">
        <f>+A7</f>
        <v>Water Utility Companies (Private)</v>
      </c>
      <c r="B24" s="411">
        <v>0</v>
      </c>
      <c r="C24" s="412">
        <v>0</v>
      </c>
      <c r="D24" s="411">
        <v>0</v>
      </c>
      <c r="E24" s="411">
        <v>0</v>
      </c>
      <c r="F24" s="411">
        <v>0</v>
      </c>
      <c r="G24" s="413">
        <f>MEDIAN(B24:F24)</f>
        <v>0</v>
      </c>
      <c r="H24" s="414">
        <f t="shared" ref="H24" si="0">AVERAGE(B24:F24)</f>
        <v>0</v>
      </c>
      <c r="I24" s="12"/>
      <c r="J24" s="12"/>
      <c r="K24" s="12"/>
    </row>
    <row r="25" spans="1:11" ht="21.5" thickBot="1">
      <c r="A25" s="162" t="s">
        <v>0</v>
      </c>
      <c r="B25" s="227" t="s">
        <v>0</v>
      </c>
      <c r="C25" s="169" t="s">
        <v>0</v>
      </c>
      <c r="D25" s="227" t="s">
        <v>0</v>
      </c>
      <c r="E25" s="227" t="s">
        <v>0</v>
      </c>
      <c r="F25" s="227" t="s">
        <v>0</v>
      </c>
      <c r="G25" s="348"/>
      <c r="H25" s="172"/>
      <c r="I25" s="12"/>
      <c r="J25" s="12"/>
      <c r="K25" s="12"/>
    </row>
    <row r="26" spans="1:11" ht="17">
      <c r="A26" s="12"/>
      <c r="B26" s="12"/>
      <c r="C26" s="12"/>
      <c r="D26" s="12"/>
      <c r="E26" s="12"/>
      <c r="F26" s="12"/>
      <c r="G26" s="12"/>
      <c r="H26" s="12"/>
      <c r="I26" s="12"/>
      <c r="J26" s="12"/>
      <c r="K26" s="12"/>
    </row>
    <row r="27" spans="1:11" ht="17">
      <c r="A27" s="12"/>
      <c r="B27" s="12"/>
      <c r="C27" s="12"/>
      <c r="D27" s="12"/>
      <c r="E27" s="12"/>
      <c r="F27" s="12"/>
      <c r="G27" s="12"/>
      <c r="H27" s="12"/>
      <c r="I27" s="12"/>
      <c r="J27" s="12"/>
      <c r="K27" s="12"/>
    </row>
    <row r="28" spans="1:11" ht="17">
      <c r="A28" s="12"/>
      <c r="B28" s="12" t="s">
        <v>0</v>
      </c>
      <c r="C28" s="12"/>
      <c r="D28" s="12"/>
      <c r="E28" s="12"/>
      <c r="F28" s="12"/>
      <c r="G28" s="12"/>
      <c r="H28" s="12"/>
      <c r="I28" s="12"/>
      <c r="J28" s="12"/>
      <c r="K28" s="12"/>
    </row>
    <row r="29" spans="1:11" ht="17.5" thickBot="1">
      <c r="A29" s="12"/>
      <c r="B29" s="12"/>
      <c r="C29" s="12"/>
      <c r="D29" s="12"/>
      <c r="E29" s="12"/>
      <c r="F29" s="12"/>
      <c r="G29" s="12"/>
      <c r="H29" s="12"/>
      <c r="I29" s="12"/>
      <c r="J29" s="12"/>
      <c r="K29" s="12"/>
    </row>
    <row r="30" spans="1:11" ht="21.5" thickBot="1">
      <c r="A30" s="171" t="s">
        <v>252</v>
      </c>
      <c r="B30" s="12"/>
      <c r="C30" s="12"/>
      <c r="D30" s="12"/>
      <c r="E30" s="12"/>
      <c r="F30" s="12"/>
      <c r="G30" s="12"/>
      <c r="H30" s="12"/>
      <c r="I30" s="12"/>
      <c r="J30" s="12"/>
      <c r="K30" s="12"/>
    </row>
    <row r="31" spans="1:11" ht="17">
      <c r="A31" s="12"/>
      <c r="B31" s="12"/>
      <c r="C31" s="12"/>
      <c r="D31" s="12"/>
      <c r="E31" s="12"/>
      <c r="F31" s="12"/>
      <c r="G31" s="12"/>
      <c r="H31" s="12"/>
      <c r="I31" s="12"/>
      <c r="J31" s="12"/>
      <c r="K31" s="12"/>
    </row>
    <row r="32" spans="1:11" ht="17">
      <c r="A32" s="12"/>
      <c r="B32" s="12"/>
      <c r="C32" s="12"/>
      <c r="D32" s="12"/>
      <c r="E32" s="12"/>
      <c r="F32" s="12"/>
      <c r="G32" s="12"/>
      <c r="H32" s="12"/>
      <c r="I32" s="12"/>
      <c r="J32" s="12"/>
      <c r="K32" s="12"/>
    </row>
    <row r="33" spans="1:11" ht="26">
      <c r="A33" s="364">
        <v>1.84E-2</v>
      </c>
      <c r="B33" s="30" t="s">
        <v>458</v>
      </c>
      <c r="C33" s="12"/>
      <c r="E33" s="214" t="s">
        <v>0</v>
      </c>
      <c r="F33" s="12"/>
      <c r="G33" s="12"/>
      <c r="H33" s="12"/>
      <c r="I33" s="12"/>
      <c r="J33" s="12"/>
      <c r="K33" s="12"/>
    </row>
    <row r="34" spans="1:11" ht="26">
      <c r="A34" s="229"/>
      <c r="B34" s="12" t="s">
        <v>459</v>
      </c>
      <c r="C34" s="12"/>
      <c r="D34" s="12"/>
      <c r="E34" s="12"/>
      <c r="F34" s="12"/>
      <c r="G34" s="12"/>
      <c r="H34" s="12"/>
      <c r="I34" s="12"/>
      <c r="J34" s="12"/>
      <c r="K34" s="12"/>
    </row>
    <row r="35" spans="1:11" ht="26">
      <c r="A35" s="229"/>
      <c r="B35" s="431" t="s">
        <v>294</v>
      </c>
      <c r="C35" s="12"/>
      <c r="D35" s="12"/>
      <c r="E35" s="12"/>
      <c r="F35" s="12"/>
      <c r="G35" s="12"/>
      <c r="H35" s="12"/>
      <c r="I35" s="12"/>
      <c r="J35" s="12"/>
      <c r="K35" s="12"/>
    </row>
    <row r="36" spans="1:11" ht="26">
      <c r="A36" s="359">
        <v>1.7999999999999999E-2</v>
      </c>
      <c r="B36" s="30" t="s">
        <v>253</v>
      </c>
      <c r="C36" s="12"/>
      <c r="D36" s="12"/>
      <c r="E36" s="12"/>
      <c r="F36" s="12"/>
      <c r="G36" s="12"/>
      <c r="H36" s="12"/>
      <c r="I36" s="12"/>
      <c r="J36" s="12"/>
      <c r="K36" s="12"/>
    </row>
    <row r="37" spans="1:11" ht="26">
      <c r="A37" s="228"/>
      <c r="B37" s="230" t="s">
        <v>460</v>
      </c>
      <c r="C37" s="12"/>
      <c r="D37" s="12"/>
      <c r="E37" s="12"/>
      <c r="F37" s="12"/>
      <c r="G37" s="12"/>
      <c r="H37" s="12"/>
      <c r="I37" s="12"/>
      <c r="J37" s="12"/>
      <c r="K37" s="12"/>
    </row>
    <row r="38" spans="1:11" ht="26">
      <c r="A38" s="228"/>
      <c r="B38" s="431" t="s">
        <v>461</v>
      </c>
      <c r="C38" s="12"/>
      <c r="D38" s="12"/>
      <c r="E38" s="12"/>
      <c r="F38" s="12"/>
      <c r="G38" s="12"/>
      <c r="H38" s="12"/>
      <c r="I38" s="12"/>
      <c r="J38" s="12"/>
      <c r="K38" s="12"/>
    </row>
    <row r="39" spans="1:11" ht="26">
      <c r="A39" s="359" t="s">
        <v>462</v>
      </c>
      <c r="B39" s="30" t="s">
        <v>254</v>
      </c>
      <c r="C39" s="12"/>
      <c r="D39" s="12"/>
      <c r="E39" s="12"/>
      <c r="F39" s="12"/>
      <c r="G39" s="12"/>
      <c r="H39" s="12"/>
      <c r="I39" s="12"/>
      <c r="J39" s="12"/>
      <c r="K39" s="12"/>
    </row>
    <row r="40" spans="1:11" ht="26">
      <c r="A40" s="228"/>
      <c r="B40" s="133" t="s">
        <v>463</v>
      </c>
      <c r="C40" s="12"/>
      <c r="D40" s="12"/>
      <c r="E40" s="12"/>
      <c r="F40" s="12"/>
      <c r="G40" s="12"/>
      <c r="H40" s="12"/>
      <c r="I40" s="12"/>
      <c r="J40" s="12"/>
      <c r="K40" s="12"/>
    </row>
    <row r="41" spans="1:11" ht="26">
      <c r="A41" s="228"/>
      <c r="B41" s="431" t="s">
        <v>312</v>
      </c>
      <c r="C41" s="12"/>
      <c r="D41" s="12"/>
      <c r="E41" s="12"/>
      <c r="F41" s="12"/>
      <c r="G41" s="12"/>
      <c r="H41" s="12"/>
      <c r="I41" s="12"/>
      <c r="J41" s="12"/>
      <c r="K41" s="12"/>
    </row>
    <row r="42" spans="1:11" ht="26">
      <c r="A42" s="364">
        <v>1.9E-2</v>
      </c>
      <c r="B42" s="30" t="s">
        <v>442</v>
      </c>
      <c r="C42" s="12"/>
      <c r="D42" s="12"/>
      <c r="E42" s="12"/>
      <c r="F42" s="12"/>
      <c r="G42" s="12"/>
      <c r="H42" s="12"/>
      <c r="I42" s="12"/>
      <c r="J42" s="12"/>
      <c r="K42" s="12"/>
    </row>
    <row r="43" spans="1:11" ht="26">
      <c r="A43" s="228"/>
      <c r="B43" s="12" t="s">
        <v>443</v>
      </c>
      <c r="C43" s="12"/>
      <c r="D43" s="12"/>
      <c r="E43" s="12"/>
      <c r="F43" s="12"/>
      <c r="G43" s="12"/>
      <c r="H43" s="12"/>
      <c r="I43" s="12"/>
      <c r="J43" s="12"/>
      <c r="K43" s="12"/>
    </row>
    <row r="44" spans="1:11" ht="26">
      <c r="A44" s="228"/>
      <c r="B44" s="431" t="s">
        <v>311</v>
      </c>
      <c r="C44" s="12"/>
      <c r="D44" s="12"/>
      <c r="E44" s="12"/>
      <c r="F44" s="12"/>
      <c r="G44" s="12"/>
      <c r="H44" s="12"/>
      <c r="I44" s="12"/>
      <c r="J44" s="12"/>
      <c r="K44" s="12"/>
    </row>
    <row r="45" spans="1:11" ht="26">
      <c r="A45" s="359"/>
      <c r="B45" s="30"/>
      <c r="C45" s="12"/>
      <c r="D45" s="12"/>
      <c r="E45" s="12"/>
      <c r="F45" s="12"/>
      <c r="G45" s="12"/>
      <c r="H45" s="12"/>
      <c r="I45" s="12"/>
      <c r="J45" s="12"/>
      <c r="K45" s="12"/>
    </row>
    <row r="46" spans="1:11" ht="26">
      <c r="A46" s="429" t="s">
        <v>492</v>
      </c>
      <c r="B46" s="428" t="s">
        <v>491</v>
      </c>
      <c r="C46" s="12"/>
      <c r="D46" s="12"/>
      <c r="E46" s="12"/>
      <c r="F46" s="12"/>
      <c r="G46" s="12"/>
      <c r="H46" s="12"/>
      <c r="I46" s="12"/>
      <c r="J46" s="12"/>
      <c r="K46" s="12"/>
    </row>
    <row r="47" spans="1:11" ht="26">
      <c r="A47" s="429" t="s">
        <v>493</v>
      </c>
      <c r="B47" s="431" t="s">
        <v>482</v>
      </c>
      <c r="C47" s="12"/>
      <c r="D47" s="12"/>
      <c r="E47" s="12"/>
      <c r="F47" s="12"/>
      <c r="G47" s="12"/>
      <c r="H47" s="12"/>
      <c r="I47" s="12"/>
      <c r="J47" s="12"/>
      <c r="K47" s="12"/>
    </row>
    <row r="48" spans="1:11" ht="26">
      <c r="A48" s="228" t="s">
        <v>0</v>
      </c>
      <c r="C48" s="12"/>
      <c r="D48" s="12"/>
      <c r="E48" s="12"/>
      <c r="F48" s="12"/>
      <c r="G48" s="12"/>
      <c r="H48" s="12"/>
      <c r="I48" s="12"/>
      <c r="J48" s="12"/>
      <c r="K48" s="12"/>
    </row>
    <row r="49" spans="1:11" ht="21">
      <c r="A49" s="363" t="s">
        <v>265</v>
      </c>
      <c r="C49" s="12"/>
      <c r="D49" s="12"/>
      <c r="E49" s="12"/>
      <c r="F49" s="12"/>
      <c r="G49" s="12"/>
      <c r="H49" s="12"/>
      <c r="I49" s="12"/>
      <c r="J49" s="12"/>
      <c r="K49" s="12"/>
    </row>
    <row r="50" spans="1:11" ht="21">
      <c r="A50" s="30" t="s">
        <v>266</v>
      </c>
      <c r="B50" s="12"/>
      <c r="C50" s="12"/>
      <c r="D50" s="12"/>
      <c r="E50" s="12"/>
      <c r="H50" s="12"/>
      <c r="I50" s="12"/>
      <c r="J50" s="12"/>
      <c r="K50" s="12"/>
    </row>
    <row r="51" spans="1:11" ht="17">
      <c r="A51" s="431" t="s">
        <v>267</v>
      </c>
      <c r="B51" s="12"/>
      <c r="C51" s="12"/>
      <c r="D51" s="12"/>
      <c r="E51" s="12"/>
      <c r="F51" s="12"/>
      <c r="G51" s="12"/>
      <c r="H51" s="12"/>
      <c r="I51" s="12"/>
      <c r="J51" s="12"/>
      <c r="K51" s="12"/>
    </row>
    <row r="52" spans="1:11" ht="17">
      <c r="A52" s="155"/>
      <c r="B52" s="12"/>
      <c r="C52" s="12"/>
      <c r="D52" s="12"/>
      <c r="E52" s="12"/>
      <c r="F52" s="12"/>
      <c r="G52" s="12" t="s">
        <v>0</v>
      </c>
      <c r="H52" s="12" t="s">
        <v>0</v>
      </c>
      <c r="I52" s="12"/>
      <c r="J52" s="12"/>
      <c r="K52" s="12"/>
    </row>
    <row r="53" spans="1:11" ht="17">
      <c r="A53" s="12"/>
      <c r="B53" s="12"/>
      <c r="C53" s="12"/>
      <c r="D53" s="12"/>
      <c r="E53" s="12"/>
      <c r="F53" s="12"/>
      <c r="G53" s="12" t="s">
        <v>0</v>
      </c>
      <c r="H53" s="12"/>
      <c r="I53" s="12"/>
      <c r="J53" s="12"/>
      <c r="K53" s="12"/>
    </row>
    <row r="54" spans="1:11" ht="17.5" thickBot="1">
      <c r="A54" s="12"/>
      <c r="B54" s="12"/>
      <c r="C54" s="12"/>
      <c r="D54" s="12"/>
      <c r="E54" s="12"/>
      <c r="F54" s="12"/>
      <c r="G54" s="12" t="s">
        <v>0</v>
      </c>
      <c r="H54" s="12"/>
      <c r="I54" s="12"/>
      <c r="J54" s="12"/>
      <c r="K54" s="12"/>
    </row>
    <row r="55" spans="1:11" ht="21.5" thickBot="1">
      <c r="A55" s="171" t="s">
        <v>251</v>
      </c>
      <c r="B55" s="43" t="s">
        <v>396</v>
      </c>
      <c r="C55" s="12"/>
      <c r="D55" s="12"/>
      <c r="E55" s="12"/>
      <c r="F55" s="12"/>
      <c r="G55" s="12"/>
      <c r="H55" s="12"/>
      <c r="I55" s="437" t="s">
        <v>495</v>
      </c>
      <c r="J55" s="12"/>
      <c r="K55" s="12"/>
    </row>
    <row r="56" spans="1:11" ht="17">
      <c r="A56" s="12"/>
      <c r="B56" s="12"/>
      <c r="C56" s="12"/>
      <c r="D56" s="12"/>
      <c r="E56" s="12"/>
      <c r="F56" s="12"/>
      <c r="G56" s="420" t="s">
        <v>464</v>
      </c>
      <c r="H56" s="421" t="s">
        <v>465</v>
      </c>
      <c r="I56" s="438">
        <v>1.76</v>
      </c>
      <c r="J56" s="12"/>
      <c r="K56" s="12"/>
    </row>
    <row r="57" spans="1:11" ht="26">
      <c r="A57" s="359">
        <v>2.2100000000000002E-2</v>
      </c>
      <c r="B57" s="30" t="s">
        <v>397</v>
      </c>
      <c r="C57" s="12"/>
      <c r="E57" s="12"/>
      <c r="G57" s="422" t="s">
        <v>466</v>
      </c>
      <c r="H57" s="423" t="s">
        <v>467</v>
      </c>
      <c r="I57" s="438">
        <v>1.74</v>
      </c>
      <c r="J57" s="12"/>
      <c r="K57" s="12"/>
    </row>
    <row r="58" spans="1:11" ht="26">
      <c r="A58" s="359">
        <v>2.41E-2</v>
      </c>
      <c r="B58" s="30" t="s">
        <v>398</v>
      </c>
      <c r="C58" s="12"/>
      <c r="E58" s="12"/>
      <c r="G58" s="422" t="s">
        <v>468</v>
      </c>
      <c r="H58" s="423" t="s">
        <v>469</v>
      </c>
      <c r="I58" s="438">
        <v>1.84</v>
      </c>
      <c r="J58" s="12"/>
      <c r="K58" s="12"/>
    </row>
    <row r="59" spans="1:11" ht="26">
      <c r="A59" s="359">
        <v>2.1700000000000001E-2</v>
      </c>
      <c r="B59" s="30" t="s">
        <v>399</v>
      </c>
      <c r="C59" s="12"/>
      <c r="D59" s="12"/>
      <c r="E59" s="12"/>
      <c r="G59" s="424" t="s">
        <v>470</v>
      </c>
      <c r="H59" s="425" t="s">
        <v>471</v>
      </c>
      <c r="I59" s="439">
        <v>1.91</v>
      </c>
      <c r="J59" s="12"/>
      <c r="K59" s="12"/>
    </row>
    <row r="60" spans="1:11" ht="12" customHeight="1">
      <c r="A60" s="359"/>
      <c r="B60" s="30"/>
      <c r="C60" s="12"/>
      <c r="D60" s="12"/>
      <c r="E60" s="12"/>
      <c r="G60" s="14"/>
      <c r="H60" s="156"/>
      <c r="I60" s="12"/>
      <c r="J60" s="12"/>
      <c r="K60" s="12"/>
    </row>
    <row r="61" spans="1:11" ht="21">
      <c r="A61" s="361" t="s">
        <v>400</v>
      </c>
      <c r="B61" s="30"/>
      <c r="C61" s="12"/>
      <c r="D61" s="12"/>
      <c r="E61" s="12"/>
      <c r="F61" s="358"/>
      <c r="G61" s="87"/>
      <c r="H61" s="12"/>
      <c r="I61" s="12"/>
      <c r="J61" s="12"/>
      <c r="K61" s="12"/>
    </row>
    <row r="62" spans="1:11" ht="26">
      <c r="A62" s="359"/>
      <c r="B62" s="30"/>
      <c r="C62" s="12"/>
      <c r="D62" s="12"/>
      <c r="E62" s="12"/>
      <c r="F62" s="358"/>
      <c r="G62" s="87"/>
      <c r="H62" s="12"/>
      <c r="I62" s="12"/>
      <c r="J62" s="12"/>
      <c r="K62" s="12"/>
    </row>
    <row r="63" spans="1:11" ht="26">
      <c r="A63" s="359">
        <v>2.3E-2</v>
      </c>
      <c r="B63" s="30" t="s">
        <v>472</v>
      </c>
      <c r="C63" s="12"/>
      <c r="D63" s="12"/>
      <c r="E63" s="12"/>
      <c r="F63" s="12"/>
      <c r="G63" s="12"/>
      <c r="H63" s="12"/>
      <c r="I63" s="12"/>
      <c r="J63" s="12"/>
      <c r="K63" s="12"/>
    </row>
    <row r="64" spans="1:11" ht="26">
      <c r="A64" s="359">
        <v>2.2599999999999999E-2</v>
      </c>
      <c r="B64" s="30" t="s">
        <v>473</v>
      </c>
      <c r="C64" s="12"/>
      <c r="D64" s="12"/>
      <c r="E64" s="12"/>
      <c r="F64" s="12"/>
      <c r="G64" s="12"/>
      <c r="H64" s="12"/>
      <c r="I64" s="12"/>
      <c r="J64" s="12"/>
      <c r="K64" s="12"/>
    </row>
    <row r="65" spans="1:11" ht="26">
      <c r="A65" s="359">
        <v>2.24E-2</v>
      </c>
      <c r="B65" s="30" t="s">
        <v>259</v>
      </c>
      <c r="C65" s="12"/>
      <c r="D65" s="12"/>
      <c r="E65" s="12"/>
      <c r="F65" s="12"/>
      <c r="G65" s="12"/>
      <c r="H65" s="12"/>
      <c r="I65" s="12"/>
      <c r="J65" s="12"/>
      <c r="K65" s="12"/>
    </row>
    <row r="66" spans="1:11" ht="26">
      <c r="A66" s="359">
        <v>2.1999999999999999E-2</v>
      </c>
      <c r="B66" s="30" t="s">
        <v>474</v>
      </c>
      <c r="C66" s="12"/>
      <c r="D66" s="12"/>
      <c r="E66" s="12"/>
      <c r="F66" s="12"/>
      <c r="G66" s="12"/>
      <c r="H66" s="12"/>
      <c r="I66" s="12"/>
      <c r="J66" s="12"/>
      <c r="K66" s="12"/>
    </row>
    <row r="67" spans="1:11" ht="26">
      <c r="A67" s="359">
        <v>0.02</v>
      </c>
      <c r="B67" s="30" t="s">
        <v>257</v>
      </c>
      <c r="C67" s="12"/>
      <c r="D67" s="12"/>
      <c r="E67" s="12"/>
      <c r="F67" s="12"/>
      <c r="G67" s="12"/>
      <c r="H67" s="12"/>
      <c r="I67" s="12"/>
      <c r="J67" s="12"/>
      <c r="K67" s="12"/>
    </row>
    <row r="68" spans="1:11" ht="17">
      <c r="B68" s="12" t="s">
        <v>0</v>
      </c>
      <c r="C68" s="12"/>
      <c r="D68" s="12"/>
      <c r="E68" s="12"/>
      <c r="F68" s="12"/>
      <c r="G68" s="12"/>
      <c r="H68" s="12"/>
      <c r="I68" s="12"/>
      <c r="J68" s="12"/>
      <c r="K68" s="12"/>
    </row>
    <row r="69" spans="1:11" ht="17">
      <c r="A69" s="12"/>
      <c r="B69" s="12"/>
      <c r="C69" s="12"/>
      <c r="D69" s="12"/>
      <c r="E69" s="12"/>
      <c r="F69" s="12"/>
      <c r="G69" s="12"/>
      <c r="H69" s="12"/>
      <c r="I69" s="12"/>
      <c r="J69" s="12"/>
      <c r="K69" s="12"/>
    </row>
    <row r="70" spans="1:11" ht="27" customHeight="1" thickBot="1">
      <c r="B70" s="12"/>
      <c r="C70" s="12"/>
      <c r="D70" s="28"/>
      <c r="E70" s="28"/>
      <c r="F70" s="28"/>
      <c r="G70" s="12"/>
      <c r="H70" s="12"/>
      <c r="I70" s="12"/>
      <c r="J70" s="12"/>
      <c r="K70" s="12"/>
    </row>
    <row r="71" spans="1:11" ht="25.5">
      <c r="B71" s="30"/>
      <c r="C71" s="30"/>
      <c r="D71" s="12"/>
      <c r="E71" s="31" t="s">
        <v>212</v>
      </c>
      <c r="F71" s="12"/>
      <c r="G71" s="12"/>
      <c r="H71" s="12"/>
      <c r="I71" s="12"/>
      <c r="J71" s="12"/>
      <c r="K71" s="12"/>
    </row>
    <row r="72" spans="1:11" ht="21.5" thickBot="1">
      <c r="A72" s="158"/>
      <c r="B72" s="30"/>
      <c r="C72" s="30"/>
      <c r="D72" s="28"/>
      <c r="E72" s="36" t="s">
        <v>453</v>
      </c>
      <c r="F72" s="28"/>
      <c r="G72" s="12"/>
      <c r="H72" s="12"/>
      <c r="I72" s="12"/>
      <c r="J72" s="12"/>
      <c r="K72" s="12"/>
    </row>
    <row r="73" spans="1:11" ht="21.5" thickBot="1">
      <c r="A73" s="157" t="s">
        <v>213</v>
      </c>
      <c r="B73" s="30"/>
      <c r="C73" s="30"/>
      <c r="D73" s="34"/>
      <c r="E73" s="154"/>
      <c r="F73" s="12"/>
      <c r="G73" s="12"/>
      <c r="H73" s="12"/>
      <c r="I73" s="12"/>
      <c r="J73" s="12"/>
      <c r="K73" s="12"/>
    </row>
    <row r="74" spans="1:11" ht="17">
      <c r="A74" s="38" t="s">
        <v>0</v>
      </c>
      <c r="B74" s="38"/>
      <c r="C74" s="38"/>
      <c r="D74" s="40" t="s">
        <v>0</v>
      </c>
      <c r="E74" s="40" t="s">
        <v>0</v>
      </c>
      <c r="F74" s="40" t="s">
        <v>0</v>
      </c>
      <c r="G74" s="40"/>
      <c r="H74" s="12"/>
      <c r="I74" s="12"/>
      <c r="J74" s="12"/>
      <c r="K74" s="12"/>
    </row>
    <row r="75" spans="1:11" ht="17">
      <c r="A75" s="34" t="s">
        <v>0</v>
      </c>
      <c r="B75" s="34"/>
      <c r="C75" s="34"/>
      <c r="D75" s="192" t="s">
        <v>77</v>
      </c>
      <c r="E75" s="192" t="s">
        <v>256</v>
      </c>
      <c r="F75" s="192" t="s">
        <v>126</v>
      </c>
      <c r="G75" s="275"/>
      <c r="H75" s="12"/>
      <c r="I75" s="12"/>
      <c r="J75" s="12"/>
      <c r="K75" s="12"/>
    </row>
    <row r="76" spans="1:11" ht="17">
      <c r="A76" s="130" t="s">
        <v>124</v>
      </c>
      <c r="B76" s="130"/>
      <c r="C76" s="130"/>
      <c r="D76" s="193" t="s">
        <v>79</v>
      </c>
      <c r="E76" s="193" t="s">
        <v>125</v>
      </c>
      <c r="F76" s="193" t="s">
        <v>127</v>
      </c>
      <c r="G76" s="275"/>
      <c r="H76" s="12"/>
      <c r="I76" s="12"/>
    </row>
    <row r="79" spans="1:11" ht="17.5">
      <c r="A79" s="174" t="s">
        <v>260</v>
      </c>
      <c r="B79" s="175"/>
      <c r="C79" s="222"/>
      <c r="D79" s="183">
        <f>+A57</f>
        <v>2.2100000000000002E-2</v>
      </c>
      <c r="E79" s="183">
        <v>1.7399999999999999E-2</v>
      </c>
      <c r="F79" s="176">
        <f t="shared" ref="F79:F86" si="1">+D79+E79</f>
        <v>3.95E-2</v>
      </c>
      <c r="G79" s="276"/>
      <c r="H79" s="12"/>
      <c r="I79" s="12"/>
    </row>
    <row r="80" spans="1:11" ht="17.5">
      <c r="A80" s="177" t="s">
        <v>261</v>
      </c>
      <c r="B80" s="62"/>
      <c r="C80" s="223"/>
      <c r="D80" s="360">
        <f>+A58</f>
        <v>2.41E-2</v>
      </c>
      <c r="E80" s="360">
        <v>1.84E-2</v>
      </c>
      <c r="F80" s="178">
        <f t="shared" si="1"/>
        <v>4.2499999999999996E-2</v>
      </c>
      <c r="G80" s="276"/>
      <c r="H80" s="12"/>
      <c r="I80" s="12"/>
    </row>
    <row r="81" spans="1:9" ht="17.5">
      <c r="A81" s="179" t="s">
        <v>262</v>
      </c>
      <c r="B81" s="180"/>
      <c r="C81" s="224"/>
      <c r="D81" s="184">
        <f>+A59</f>
        <v>2.1700000000000001E-2</v>
      </c>
      <c r="E81" s="184">
        <v>1.9099999999999999E-2</v>
      </c>
      <c r="F81" s="181">
        <f t="shared" si="1"/>
        <v>4.0800000000000003E-2</v>
      </c>
      <c r="G81" s="276"/>
      <c r="H81" s="12"/>
      <c r="I81" s="12"/>
    </row>
    <row r="82" spans="1:9" ht="17.5">
      <c r="A82" s="177" t="s">
        <v>263</v>
      </c>
      <c r="B82" s="62"/>
      <c r="C82" s="223"/>
      <c r="D82" s="360">
        <f t="shared" ref="D82:D84" si="2">+A63</f>
        <v>2.3E-2</v>
      </c>
      <c r="E82" s="360">
        <v>0.02</v>
      </c>
      <c r="F82" s="178">
        <f t="shared" si="1"/>
        <v>4.2999999999999997E-2</v>
      </c>
      <c r="G82" s="276"/>
      <c r="H82" s="12"/>
      <c r="I82" s="12"/>
    </row>
    <row r="83" spans="1:9" ht="17.5">
      <c r="A83" s="177" t="s">
        <v>264</v>
      </c>
      <c r="B83" s="62"/>
      <c r="C83" s="223"/>
      <c r="D83" s="360">
        <f t="shared" si="2"/>
        <v>2.2599999999999999E-2</v>
      </c>
      <c r="E83" s="360">
        <v>1.9E-2</v>
      </c>
      <c r="F83" s="178">
        <f t="shared" si="1"/>
        <v>4.1599999999999998E-2</v>
      </c>
      <c r="G83" s="276"/>
      <c r="H83" s="12"/>
      <c r="I83" s="12"/>
    </row>
    <row r="84" spans="1:9" ht="17.5">
      <c r="A84" s="177" t="s">
        <v>411</v>
      </c>
      <c r="B84" s="62"/>
      <c r="C84" s="223"/>
      <c r="D84" s="360">
        <f t="shared" si="2"/>
        <v>2.24E-2</v>
      </c>
      <c r="E84" s="360">
        <v>0.02</v>
      </c>
      <c r="F84" s="178">
        <f t="shared" si="1"/>
        <v>4.24E-2</v>
      </c>
      <c r="G84" s="276"/>
      <c r="H84" s="12"/>
      <c r="I84" s="12"/>
    </row>
    <row r="85" spans="1:9" ht="17.5">
      <c r="A85" s="177" t="s">
        <v>444</v>
      </c>
      <c r="B85" s="62"/>
      <c r="C85" s="223"/>
      <c r="D85" s="360">
        <f>+A66</f>
        <v>2.1999999999999999E-2</v>
      </c>
      <c r="E85" s="360">
        <v>1.9E-2</v>
      </c>
      <c r="F85" s="178">
        <f t="shared" si="1"/>
        <v>4.0999999999999995E-2</v>
      </c>
      <c r="G85" s="276"/>
      <c r="H85" s="12"/>
      <c r="I85" s="12"/>
    </row>
    <row r="86" spans="1:9" ht="17.5">
      <c r="A86" s="179" t="s">
        <v>258</v>
      </c>
      <c r="B86" s="180"/>
      <c r="C86" s="224"/>
      <c r="D86" s="184">
        <f>+A67</f>
        <v>0.02</v>
      </c>
      <c r="E86" s="184">
        <v>1.7999999999999999E-2</v>
      </c>
      <c r="F86" s="181">
        <f t="shared" si="1"/>
        <v>3.7999999999999999E-2</v>
      </c>
      <c r="G86" s="276"/>
      <c r="H86" s="12"/>
      <c r="I86" s="12"/>
    </row>
    <row r="87" spans="1:9" ht="17.5">
      <c r="A87" s="107"/>
      <c r="B87" s="124"/>
      <c r="C87" s="124" t="s">
        <v>45</v>
      </c>
      <c r="D87" s="182">
        <f>MAX(D79:D86)</f>
        <v>2.41E-2</v>
      </c>
      <c r="E87" s="182">
        <f t="shared" ref="E87:F87" si="3">MAX(E79:E86)</f>
        <v>0.02</v>
      </c>
      <c r="F87" s="182">
        <f t="shared" si="3"/>
        <v>4.2999999999999997E-2</v>
      </c>
      <c r="G87" s="277"/>
      <c r="H87" s="12"/>
      <c r="I87" s="12"/>
    </row>
    <row r="88" spans="1:9" ht="17.5">
      <c r="A88" s="107"/>
      <c r="B88" s="124"/>
      <c r="C88" s="124" t="s">
        <v>46</v>
      </c>
      <c r="D88" s="182">
        <f>MIN(D79:D86)</f>
        <v>0.02</v>
      </c>
      <c r="E88" s="182">
        <f t="shared" ref="E88:F88" si="4">MIN(E79:E86)</f>
        <v>1.7399999999999999E-2</v>
      </c>
      <c r="F88" s="237">
        <f t="shared" si="4"/>
        <v>3.7999999999999999E-2</v>
      </c>
      <c r="G88" s="277"/>
      <c r="H88" s="12"/>
      <c r="I88" s="12"/>
    </row>
    <row r="89" spans="1:9" ht="17.5">
      <c r="A89" s="107"/>
      <c r="B89" s="124"/>
      <c r="C89" s="124" t="s">
        <v>18</v>
      </c>
      <c r="D89" s="183">
        <f>MEDIAN(D79:D86)</f>
        <v>2.2249999999999999E-2</v>
      </c>
      <c r="E89" s="183">
        <f>MEDIAN(E79:E86)</f>
        <v>1.9E-2</v>
      </c>
      <c r="F89" s="178">
        <f t="shared" ref="F89:F90" si="5">+D89+E89</f>
        <v>4.1249999999999995E-2</v>
      </c>
      <c r="G89" s="276"/>
      <c r="H89" s="12"/>
      <c r="I89" s="12"/>
    </row>
    <row r="90" spans="1:9" ht="17.5">
      <c r="A90" s="107"/>
      <c r="B90" s="124"/>
      <c r="C90" s="124" t="s">
        <v>19</v>
      </c>
      <c r="D90" s="184">
        <f>AVERAGE(D79:D86)</f>
        <v>2.2237499999999997E-2</v>
      </c>
      <c r="E90" s="184">
        <f>AVERAGE(E79:E86)</f>
        <v>1.8862499999999997E-2</v>
      </c>
      <c r="F90" s="181">
        <f t="shared" si="5"/>
        <v>4.1099999999999998E-2</v>
      </c>
      <c r="G90" s="276"/>
      <c r="H90" s="12"/>
      <c r="I90" s="12"/>
    </row>
    <row r="91" spans="1:9" ht="17">
      <c r="A91" s="12"/>
      <c r="B91" s="14"/>
    </row>
    <row r="92" spans="1:9" ht="17.5" thickBot="1">
      <c r="A92" s="12"/>
      <c r="B92" s="14"/>
    </row>
    <row r="93" spans="1:9" ht="26" thickBot="1">
      <c r="A93" s="12"/>
      <c r="B93" s="131"/>
      <c r="C93" s="49" t="s">
        <v>214</v>
      </c>
      <c r="D93" s="419">
        <v>2.2200000000000001E-2</v>
      </c>
      <c r="E93" s="419">
        <v>1.89E-2</v>
      </c>
      <c r="F93" s="365">
        <f>+D93+E93</f>
        <v>4.1099999999999998E-2</v>
      </c>
      <c r="G93" s="426" t="s">
        <v>0</v>
      </c>
    </row>
    <row r="94" spans="1:9" ht="22.5" customHeight="1">
      <c r="A94" s="12"/>
      <c r="B94" s="12"/>
      <c r="C94" s="12"/>
      <c r="D94" s="12"/>
      <c r="E94" s="12"/>
      <c r="F94" s="12"/>
      <c r="G94" s="12"/>
      <c r="I94" s="12"/>
    </row>
    <row r="95" spans="1:9" ht="17">
      <c r="A95" s="12"/>
      <c r="B95" s="12"/>
      <c r="C95" s="12"/>
      <c r="D95" s="12"/>
      <c r="E95" s="12"/>
      <c r="F95" s="12"/>
      <c r="G95" s="12"/>
      <c r="I95" s="12" t="s">
        <v>0</v>
      </c>
    </row>
    <row r="96" spans="1:9" ht="17">
      <c r="A96" s="12"/>
      <c r="B96" s="12"/>
      <c r="C96" s="12"/>
      <c r="D96" s="12"/>
      <c r="E96" s="12"/>
      <c r="F96" s="12"/>
      <c r="G96" s="12"/>
      <c r="H96" s="12"/>
      <c r="I96" s="12"/>
    </row>
    <row r="97" spans="1:9" ht="17">
      <c r="A97" s="132" t="s">
        <v>147</v>
      </c>
      <c r="B97" s="133"/>
      <c r="C97" s="133"/>
      <c r="D97" s="133"/>
      <c r="E97" s="134"/>
      <c r="F97" s="133"/>
      <c r="G97" s="133"/>
      <c r="H97" s="133"/>
      <c r="I97" s="12"/>
    </row>
    <row r="98" spans="1:9" ht="17">
      <c r="A98" s="476" t="s">
        <v>475</v>
      </c>
      <c r="B98" s="476"/>
      <c r="C98" s="476"/>
      <c r="D98" s="476"/>
      <c r="E98" s="476"/>
      <c r="F98" s="476"/>
      <c r="G98" s="476"/>
      <c r="H98" s="476"/>
      <c r="I98" s="12"/>
    </row>
    <row r="99" spans="1:9" ht="15" customHeight="1">
      <c r="A99" s="431" t="s">
        <v>395</v>
      </c>
      <c r="B99" s="133"/>
      <c r="C99" s="431" t="s">
        <v>0</v>
      </c>
      <c r="D99" s="133"/>
      <c r="E99" s="134"/>
      <c r="F99" s="133"/>
      <c r="G99" s="133"/>
      <c r="H99" s="133"/>
      <c r="I99" s="12"/>
    </row>
    <row r="100" spans="1:9" ht="17">
      <c r="A100" s="132"/>
      <c r="B100" s="133"/>
      <c r="C100" s="133"/>
      <c r="D100" s="133"/>
      <c r="E100" s="134"/>
      <c r="F100" s="133"/>
      <c r="G100" s="133"/>
      <c r="H100" s="133"/>
      <c r="I100" s="12"/>
    </row>
    <row r="101" spans="1:9" ht="16.5" customHeight="1">
      <c r="A101" s="476" t="s">
        <v>476</v>
      </c>
      <c r="B101" s="476"/>
      <c r="C101" s="476"/>
      <c r="D101" s="476"/>
      <c r="E101" s="476"/>
      <c r="F101" s="476"/>
      <c r="G101" s="476"/>
      <c r="H101" s="476"/>
      <c r="I101" s="12"/>
    </row>
    <row r="102" spans="1:9" ht="17">
      <c r="A102" s="135" t="s">
        <v>148</v>
      </c>
      <c r="B102" s="136"/>
      <c r="C102" s="136" t="s">
        <v>0</v>
      </c>
      <c r="D102" s="136"/>
      <c r="E102" s="136"/>
      <c r="F102" s="136"/>
      <c r="G102" s="136"/>
      <c r="H102" s="133"/>
      <c r="I102" s="12"/>
    </row>
    <row r="103" spans="1:9" ht="17">
      <c r="A103" s="135"/>
      <c r="B103" s="136"/>
      <c r="C103" s="136"/>
      <c r="D103" s="136"/>
      <c r="E103" s="136"/>
      <c r="F103" s="136"/>
      <c r="G103" s="136"/>
      <c r="H103" s="133"/>
      <c r="I103" s="12"/>
    </row>
    <row r="104" spans="1:9" ht="16.5" customHeight="1">
      <c r="A104" s="476" t="s">
        <v>477</v>
      </c>
      <c r="B104" s="476"/>
      <c r="C104" s="476"/>
      <c r="D104" s="476"/>
      <c r="E104" s="476"/>
      <c r="F104" s="476"/>
      <c r="G104" s="476"/>
      <c r="H104" s="476"/>
      <c r="I104" s="12"/>
    </row>
    <row r="105" spans="1:9" ht="17">
      <c r="A105" s="135" t="s">
        <v>148</v>
      </c>
      <c r="B105" s="136"/>
      <c r="C105" s="136" t="s">
        <v>0</v>
      </c>
      <c r="D105" s="136"/>
      <c r="E105" s="136"/>
      <c r="F105" s="136"/>
      <c r="G105" s="136"/>
      <c r="H105" s="133"/>
      <c r="I105" s="12"/>
    </row>
    <row r="106" spans="1:9" ht="17">
      <c r="A106" s="135"/>
      <c r="B106" s="136"/>
      <c r="C106" s="136"/>
      <c r="D106" s="136"/>
      <c r="E106" s="136"/>
      <c r="F106" s="136"/>
      <c r="G106" s="136"/>
      <c r="H106" s="133"/>
      <c r="I106" s="12"/>
    </row>
    <row r="107" spans="1:9" ht="16.5" customHeight="1">
      <c r="A107" s="476" t="s">
        <v>478</v>
      </c>
      <c r="B107" s="476"/>
      <c r="C107" s="476"/>
      <c r="D107" s="476"/>
      <c r="E107" s="476"/>
      <c r="F107" s="476"/>
      <c r="G107" s="476"/>
      <c r="H107" s="476"/>
      <c r="I107" s="12"/>
    </row>
    <row r="108" spans="1:9" ht="17">
      <c r="A108" s="435" t="s">
        <v>149</v>
      </c>
      <c r="B108" s="136"/>
      <c r="C108" s="136"/>
      <c r="D108" s="12"/>
      <c r="E108" s="136"/>
      <c r="F108" s="136"/>
      <c r="G108" s="136"/>
      <c r="H108" s="133"/>
      <c r="I108" s="12"/>
    </row>
    <row r="109" spans="1:9" ht="15" customHeight="1">
      <c r="A109" s="431" t="s">
        <v>479</v>
      </c>
      <c r="B109" s="136"/>
      <c r="C109" s="136"/>
      <c r="D109" s="136"/>
      <c r="E109" s="136"/>
      <c r="F109" s="136"/>
      <c r="G109" s="136"/>
      <c r="H109" s="133"/>
      <c r="I109" s="12"/>
    </row>
    <row r="110" spans="1:9" ht="15" customHeight="1">
      <c r="A110" s="431"/>
      <c r="B110" s="136"/>
      <c r="C110" s="136"/>
      <c r="D110" s="136"/>
      <c r="E110" s="136"/>
      <c r="F110" s="136"/>
      <c r="G110" s="136"/>
      <c r="H110" s="133"/>
      <c r="I110" s="12"/>
    </row>
    <row r="111" spans="1:9" ht="17">
      <c r="A111" s="137" t="s">
        <v>480</v>
      </c>
      <c r="B111" s="137"/>
      <c r="C111" s="137"/>
      <c r="D111" s="137"/>
      <c r="E111" s="137"/>
      <c r="F111" s="137"/>
      <c r="G111" s="137"/>
      <c r="H111" s="133"/>
      <c r="I111" s="12"/>
    </row>
    <row r="112" spans="1:9" ht="15" customHeight="1">
      <c r="A112" s="435" t="s">
        <v>150</v>
      </c>
      <c r="B112" s="136"/>
      <c r="C112" s="12"/>
      <c r="D112" s="136"/>
      <c r="E112" s="12"/>
      <c r="F112" s="136"/>
      <c r="G112" s="136"/>
      <c r="H112" s="133"/>
      <c r="I112" s="12"/>
    </row>
    <row r="113" spans="1:9" ht="17">
      <c r="A113" s="431" t="s">
        <v>445</v>
      </c>
      <c r="B113" s="136"/>
      <c r="C113" s="431"/>
      <c r="D113" s="136"/>
      <c r="E113" s="12"/>
      <c r="F113" s="136"/>
      <c r="G113" s="136"/>
      <c r="H113" s="133"/>
      <c r="I113" s="12"/>
    </row>
    <row r="114" spans="1:9" ht="17">
      <c r="A114" s="436" t="s">
        <v>481</v>
      </c>
      <c r="B114" s="431" t="s">
        <v>482</v>
      </c>
      <c r="C114" s="138"/>
      <c r="D114" s="138"/>
      <c r="E114" s="138"/>
      <c r="F114" s="138"/>
      <c r="G114" s="138"/>
      <c r="H114" s="139"/>
    </row>
    <row r="115" spans="1:9" ht="17">
      <c r="A115" s="12"/>
      <c r="B115" s="431"/>
      <c r="C115" s="138"/>
      <c r="D115" s="138"/>
      <c r="E115" s="138"/>
      <c r="F115" s="138"/>
      <c r="G115" s="138"/>
      <c r="H115" s="139"/>
    </row>
    <row r="116" spans="1:9" ht="17">
      <c r="A116" s="137" t="s">
        <v>483</v>
      </c>
      <c r="B116" s="12"/>
      <c r="C116" s="12"/>
      <c r="D116" s="12"/>
      <c r="E116" s="12"/>
      <c r="F116" s="12"/>
      <c r="G116" s="12"/>
      <c r="H116" s="12"/>
    </row>
    <row r="117" spans="1:9" ht="17">
      <c r="A117" s="431" t="s">
        <v>461</v>
      </c>
      <c r="B117" s="12"/>
      <c r="C117" s="431" t="s">
        <v>0</v>
      </c>
      <c r="D117" s="12"/>
      <c r="E117" s="12"/>
      <c r="F117" s="12"/>
      <c r="G117" s="12"/>
      <c r="H117" s="12"/>
    </row>
    <row r="118" spans="1:9" ht="17">
      <c r="A118" s="12"/>
      <c r="B118" s="12"/>
      <c r="C118" s="12"/>
      <c r="D118" s="12"/>
      <c r="E118" s="12"/>
      <c r="F118" s="12"/>
      <c r="G118" s="12"/>
      <c r="H118" s="12"/>
    </row>
  </sheetData>
  <mergeCells count="4">
    <mergeCell ref="A101:H101"/>
    <mergeCell ref="A104:H104"/>
    <mergeCell ref="A107:H107"/>
    <mergeCell ref="A98:H98"/>
  </mergeCells>
  <hyperlinks>
    <hyperlink ref="A51" r:id="rId1" xr:uid="{9BAC1702-98F1-4456-8647-7E3562DEA8DC}"/>
    <hyperlink ref="B35" r:id="rId2" xr:uid="{7EF3254F-00E9-480F-973C-84708DEB75E3}"/>
    <hyperlink ref="B41" r:id="rId3" xr:uid="{3A65065B-A98F-4031-8350-3B60E75CA49D}"/>
    <hyperlink ref="A102" r:id="rId4" xr:uid="{B17F582E-10FE-4807-99FA-5A259CAD2252}"/>
    <hyperlink ref="A112" r:id="rId5" location="4" xr:uid="{76B8AB61-1D87-478A-8985-FB2BA5AE9041}"/>
    <hyperlink ref="A108" r:id="rId6" xr:uid="{6D9A34DE-7CE8-452A-ADD6-941986EAA17E}"/>
    <hyperlink ref="A105" r:id="rId7" xr:uid="{A878162D-D6BE-4594-84DF-6A87179C93C6}"/>
    <hyperlink ref="A99" r:id="rId8" xr:uid="{45EAEAB6-343E-493C-848D-AC7F4FB62B6A}"/>
    <hyperlink ref="C99" r:id="rId9" display="https://www.federalreserve.gov/datadownload/Preview.aspx?pi=400&amp;rel=H15&amp;preview=%20H15/H15/RIFLGFCY05_N.WF" xr:uid="{E27EF53F-CD58-4E02-A011-08674ACBB5A1}"/>
    <hyperlink ref="A113" r:id="rId10" xr:uid="{80C44678-CFB4-493D-976E-C8F873E9BB9C}"/>
    <hyperlink ref="C117" r:id="rId11" display="https://www.federalreserve.gov/monetarypolicy/files/fomcprojtabl20231213.pdf" xr:uid="{7F958946-6EFF-4602-92EB-4C70355C48EA}"/>
    <hyperlink ref="A117" r:id="rId12" xr:uid="{3D63DAE3-7AB2-4CAD-B882-83CB1573E2D3}"/>
    <hyperlink ref="A109" r:id="rId13" display="https://www.philadelphiafed.org/-/media/frbp/assets/surveys-and-data/survey-of-professional-forecasters/2024/spfq124.pdf" xr:uid="{51D89522-A658-4F5C-A239-B7FA6A74091B}"/>
    <hyperlink ref="B114" r:id="rId14" xr:uid="{E48B9D35-ECB7-4BE7-BD08-5BC39FEE8F6E}"/>
    <hyperlink ref="B47" r:id="rId15" xr:uid="{7B8F3432-496B-4C9D-B466-DFE58BB8409D}"/>
  </hyperlinks>
  <pageMargins left="0.25" right="0.25" top="0.75" bottom="0.75" header="0.3" footer="0.3"/>
  <pageSetup scale="25" fitToWidth="0" orientation="portrait" r:id="rId16"/>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88FC4C-63FA-4ED8-A8CD-4459BA89D919}">
  <sheetPr>
    <tabColor rgb="FF92D050"/>
    <pageSetUpPr fitToPage="1"/>
  </sheetPr>
  <dimension ref="A1:I108"/>
  <sheetViews>
    <sheetView view="pageBreakPreview" topLeftCell="A11" zoomScale="70" zoomScaleNormal="80" zoomScaleSheetLayoutView="70" workbookViewId="0">
      <selection activeCell="F32" sqref="F32"/>
    </sheetView>
  </sheetViews>
  <sheetFormatPr defaultRowHeight="14.5"/>
  <cols>
    <col min="1" max="1" width="45.7265625" customWidth="1"/>
    <col min="2" max="2" width="22.7265625" customWidth="1"/>
    <col min="3" max="3" width="72.1796875" customWidth="1"/>
    <col min="4" max="4" width="34.54296875" customWidth="1"/>
    <col min="5" max="5" width="21.7265625" customWidth="1"/>
    <col min="6" max="6" width="15.54296875" customWidth="1"/>
    <col min="7" max="7" width="24.81640625" customWidth="1"/>
    <col min="8" max="8" width="18" customWidth="1"/>
    <col min="9" max="9" width="20.81640625" customWidth="1"/>
    <col min="10" max="10" width="19" customWidth="1"/>
    <col min="11" max="11" width="17.26953125" customWidth="1"/>
    <col min="12" max="12" width="24.1796875" customWidth="1"/>
  </cols>
  <sheetData>
    <row r="1" spans="1:9" ht="25.5">
      <c r="A1" s="23" t="s">
        <v>1</v>
      </c>
      <c r="B1" s="12"/>
      <c r="C1" s="12"/>
      <c r="D1" s="12"/>
      <c r="E1" s="12"/>
      <c r="F1" s="12"/>
      <c r="G1" s="12"/>
      <c r="H1" s="12"/>
      <c r="I1" s="12"/>
    </row>
    <row r="2" spans="1:9" ht="17.5">
      <c r="A2" s="62" t="s">
        <v>9</v>
      </c>
      <c r="B2" s="12"/>
      <c r="C2" s="12"/>
      <c r="D2" s="12"/>
      <c r="E2" s="12"/>
      <c r="F2" s="12"/>
      <c r="G2" s="12"/>
      <c r="H2" s="12"/>
      <c r="I2" s="12"/>
    </row>
    <row r="3" spans="1:9" ht="17">
      <c r="A3" s="43" t="s">
        <v>452</v>
      </c>
      <c r="B3" s="12"/>
      <c r="C3" s="12"/>
      <c r="D3" s="12"/>
      <c r="E3" s="12"/>
      <c r="F3" s="12"/>
      <c r="G3" s="12"/>
      <c r="H3" s="12"/>
      <c r="I3" s="12"/>
    </row>
    <row r="4" spans="1:9" ht="9.75" customHeight="1">
      <c r="A4" s="12"/>
      <c r="B4" s="12"/>
      <c r="C4" s="12"/>
      <c r="D4" s="12"/>
      <c r="E4" s="12"/>
      <c r="F4" s="12"/>
      <c r="G4" s="12"/>
      <c r="H4" s="12"/>
      <c r="I4" s="12"/>
    </row>
    <row r="5" spans="1:9" ht="18" thickBot="1">
      <c r="A5" s="62"/>
      <c r="B5" s="12"/>
      <c r="C5" s="12"/>
      <c r="D5" s="12"/>
      <c r="E5" s="12"/>
      <c r="F5" s="12"/>
      <c r="G5" s="12"/>
      <c r="H5" s="12"/>
      <c r="I5" s="12"/>
    </row>
    <row r="6" spans="1:9" ht="21.5" thickBot="1">
      <c r="A6" s="280" t="str">
        <f>+'S&amp;D'!A12</f>
        <v>Water Utility Companies (Private)</v>
      </c>
      <c r="B6" s="207"/>
      <c r="C6" s="12"/>
      <c r="D6" s="12"/>
      <c r="E6" s="12"/>
      <c r="F6" s="12"/>
      <c r="G6" s="12"/>
      <c r="H6" s="12"/>
      <c r="I6" s="12"/>
    </row>
    <row r="7" spans="1:9" ht="26.25" customHeight="1" thickBot="1">
      <c r="A7" s="62"/>
      <c r="B7" s="12"/>
      <c r="C7" s="28"/>
      <c r="E7" s="12"/>
      <c r="F7" s="12"/>
      <c r="G7" s="12"/>
      <c r="H7" s="12"/>
      <c r="I7" s="12"/>
    </row>
    <row r="8" spans="1:9" ht="25.5">
      <c r="B8" s="12"/>
      <c r="C8" s="31" t="s">
        <v>157</v>
      </c>
      <c r="E8" s="12"/>
      <c r="F8" s="12"/>
      <c r="G8" s="12"/>
      <c r="H8" s="12"/>
      <c r="I8" s="12"/>
    </row>
    <row r="9" spans="1:9" ht="21.5" thickBot="1">
      <c r="A9" s="30"/>
      <c r="B9" s="12"/>
      <c r="C9" s="32" t="s">
        <v>453</v>
      </c>
      <c r="E9" s="12"/>
      <c r="F9" s="12"/>
      <c r="G9" s="12"/>
      <c r="H9" s="12"/>
      <c r="I9" s="12"/>
    </row>
    <row r="10" spans="1:9" ht="11.25" customHeight="1">
      <c r="A10" s="30"/>
      <c r="B10" s="12"/>
      <c r="C10" s="12"/>
      <c r="D10" s="12"/>
      <c r="E10" s="12"/>
      <c r="F10" s="12"/>
      <c r="G10" s="12"/>
      <c r="H10" s="12"/>
      <c r="I10" s="12"/>
    </row>
    <row r="11" spans="1:9" ht="10.5" customHeight="1" thickBot="1">
      <c r="A11" s="12"/>
      <c r="B11" s="12"/>
      <c r="C11" s="12"/>
      <c r="D11" s="12"/>
      <c r="E11" s="12"/>
      <c r="F11" s="12"/>
      <c r="G11" s="12"/>
      <c r="H11" s="12"/>
      <c r="I11" s="12"/>
    </row>
    <row r="12" spans="1:9" ht="17">
      <c r="A12" s="12"/>
      <c r="B12" s="12"/>
      <c r="C12" s="80" t="s">
        <v>0</v>
      </c>
      <c r="D12" s="80" t="s">
        <v>190</v>
      </c>
      <c r="E12" s="12"/>
      <c r="F12" s="12"/>
      <c r="G12" s="12"/>
      <c r="H12" s="12"/>
      <c r="I12" s="12"/>
    </row>
    <row r="13" spans="1:9" ht="21.5" thickBot="1">
      <c r="A13" s="12"/>
      <c r="B13" s="12"/>
      <c r="C13" s="377" t="s">
        <v>156</v>
      </c>
      <c r="D13" s="82" t="s">
        <v>281</v>
      </c>
      <c r="E13" s="12"/>
      <c r="F13" s="12"/>
      <c r="G13" s="12"/>
      <c r="H13" s="12"/>
      <c r="I13" s="12"/>
    </row>
    <row r="14" spans="1:9" ht="17">
      <c r="A14" s="12"/>
      <c r="B14" s="12"/>
      <c r="E14" s="381"/>
      <c r="F14" s="12"/>
      <c r="G14" s="12"/>
      <c r="H14" s="12"/>
      <c r="I14" s="12"/>
    </row>
    <row r="15" spans="1:9" ht="17.5">
      <c r="A15" s="12"/>
      <c r="B15" s="12"/>
      <c r="C15" s="378" t="s">
        <v>447</v>
      </c>
      <c r="D15" s="380">
        <f>+CAPM!F16</f>
        <v>6.5253000000000005E-2</v>
      </c>
      <c r="E15" s="381"/>
      <c r="F15" s="12"/>
      <c r="G15" s="12"/>
      <c r="H15" s="12"/>
      <c r="I15" s="12"/>
    </row>
    <row r="16" spans="1:9" ht="17.5">
      <c r="A16" s="12"/>
      <c r="B16" s="12"/>
      <c r="C16" s="378" t="s">
        <v>448</v>
      </c>
      <c r="D16" s="380">
        <f>+CAPM!F17</f>
        <v>6.6664000000000001E-2</v>
      </c>
      <c r="E16" s="381"/>
      <c r="F16" s="12"/>
      <c r="G16" s="12"/>
      <c r="H16" s="12"/>
      <c r="I16" s="12"/>
    </row>
    <row r="17" spans="1:9" ht="17.5">
      <c r="A17" s="12"/>
      <c r="B17" s="12"/>
      <c r="C17" s="378" t="s">
        <v>426</v>
      </c>
      <c r="D17" s="380">
        <f>+CAPM!F19</f>
        <v>7.9279999999999989E-2</v>
      </c>
      <c r="E17" s="381"/>
      <c r="F17" s="12"/>
      <c r="G17" s="12"/>
      <c r="H17" s="12"/>
      <c r="I17" s="12"/>
    </row>
    <row r="18" spans="1:9" ht="17.5">
      <c r="A18" s="12"/>
      <c r="B18" s="12"/>
      <c r="C18" s="378" t="s">
        <v>440</v>
      </c>
      <c r="D18" s="380">
        <f>+CAPM!F20</f>
        <v>9.1480999999999993E-2</v>
      </c>
      <c r="E18" s="416"/>
      <c r="G18" s="12"/>
      <c r="H18" s="12"/>
      <c r="I18" s="12"/>
    </row>
    <row r="19" spans="1:9" ht="17.5">
      <c r="A19" s="12"/>
      <c r="B19" s="12"/>
      <c r="C19" s="378" t="s">
        <v>430</v>
      </c>
      <c r="D19" s="380">
        <f>+CAPM!F21</f>
        <v>7.7868999999999994E-2</v>
      </c>
      <c r="E19" s="381"/>
      <c r="F19" s="12"/>
      <c r="G19" s="12"/>
      <c r="H19" s="12"/>
      <c r="I19" s="12"/>
    </row>
    <row r="20" spans="1:9" ht="17.5">
      <c r="A20" s="12"/>
      <c r="B20" s="12"/>
      <c r="C20" s="378" t="s">
        <v>425</v>
      </c>
      <c r="D20" s="380">
        <f>+CAPM!F22</f>
        <v>7.6706999999999997E-2</v>
      </c>
      <c r="E20" s="381"/>
      <c r="F20" s="12"/>
      <c r="G20" s="12"/>
      <c r="H20" s="12"/>
      <c r="I20" s="12"/>
    </row>
    <row r="21" spans="1:9" ht="17.5">
      <c r="A21" s="12"/>
      <c r="B21" s="12"/>
      <c r="C21" s="378" t="s">
        <v>158</v>
      </c>
      <c r="D21" s="380">
        <f>+CAPM!F24</f>
        <v>8.2101999999999994E-2</v>
      </c>
      <c r="E21" s="381"/>
      <c r="F21" s="12"/>
      <c r="G21" s="12"/>
      <c r="H21" s="12"/>
      <c r="I21" s="12"/>
    </row>
    <row r="22" spans="1:9" ht="17.5">
      <c r="A22" s="12"/>
      <c r="B22" s="12"/>
      <c r="C22" s="378" t="s">
        <v>159</v>
      </c>
      <c r="D22" s="380">
        <f>+CAPM!F26</f>
        <v>8.8409999999999989E-2</v>
      </c>
      <c r="E22" s="381"/>
      <c r="F22" s="12"/>
      <c r="G22" s="12"/>
      <c r="H22" s="12"/>
      <c r="I22" s="12"/>
    </row>
    <row r="23" spans="1:9" ht="17.5">
      <c r="A23" s="12"/>
      <c r="B23" s="12"/>
      <c r="C23" s="378" t="s">
        <v>160</v>
      </c>
      <c r="D23" s="380">
        <f>+CAPM!F28</f>
        <v>9.4634999999999997E-2</v>
      </c>
      <c r="E23" s="381"/>
      <c r="F23" s="12"/>
      <c r="G23" s="12"/>
      <c r="H23" s="12"/>
      <c r="I23" s="12"/>
    </row>
    <row r="24" spans="1:9" ht="17.5">
      <c r="A24" s="12"/>
      <c r="B24" s="12"/>
      <c r="C24" s="378" t="s">
        <v>161</v>
      </c>
      <c r="D24" s="380">
        <f>+CAPM!F29</f>
        <v>8.4177000000000002E-2</v>
      </c>
      <c r="E24" s="416"/>
      <c r="G24" s="12"/>
      <c r="H24" s="12"/>
      <c r="I24" s="12"/>
    </row>
    <row r="25" spans="1:9" ht="17.5">
      <c r="A25" s="12"/>
      <c r="B25" s="12"/>
      <c r="C25" s="379" t="s">
        <v>432</v>
      </c>
      <c r="D25" s="380">
        <f>+CAPM!F31</f>
        <v>0.10061099999999999</v>
      </c>
      <c r="E25" s="390"/>
      <c r="F25" s="12"/>
      <c r="G25" s="12"/>
      <c r="H25" s="12"/>
      <c r="I25" s="12"/>
    </row>
    <row r="26" spans="1:9" ht="17.5">
      <c r="A26" s="12"/>
      <c r="B26" s="12"/>
      <c r="C26" s="379" t="s">
        <v>433</v>
      </c>
      <c r="D26" s="380">
        <f>+CAPM!F32</f>
        <v>9.2726000000000003E-2</v>
      </c>
      <c r="E26" s="390"/>
      <c r="F26" s="12"/>
      <c r="G26" s="12"/>
      <c r="H26" s="12"/>
      <c r="I26" s="12"/>
    </row>
    <row r="27" spans="1:9" ht="17.5">
      <c r="A27" s="12"/>
      <c r="B27" s="12"/>
      <c r="C27" s="379" t="s">
        <v>434</v>
      </c>
      <c r="D27" s="380">
        <f>+CAPM!F33</f>
        <v>8.6749999999999994E-2</v>
      </c>
      <c r="E27" s="390"/>
      <c r="F27" s="12"/>
      <c r="G27" s="12"/>
      <c r="H27" s="12"/>
      <c r="I27" s="12"/>
    </row>
    <row r="28" spans="1:9" ht="17.5">
      <c r="A28" s="12"/>
      <c r="B28" s="12"/>
      <c r="C28" s="378" t="s">
        <v>449</v>
      </c>
      <c r="D28" s="380">
        <f>+CAPM!G42</f>
        <v>6.648975E-2</v>
      </c>
      <c r="E28" s="390"/>
      <c r="F28" s="12"/>
      <c r="G28" s="12"/>
      <c r="H28" s="12"/>
      <c r="I28" s="12"/>
    </row>
    <row r="29" spans="1:9" ht="17.5">
      <c r="A29" s="12"/>
      <c r="B29" s="12"/>
      <c r="C29" s="378" t="s">
        <v>450</v>
      </c>
      <c r="D29" s="380">
        <f>+CAPM!G43</f>
        <v>6.7973000000000006E-2</v>
      </c>
      <c r="E29" s="390"/>
      <c r="F29" s="12"/>
      <c r="G29" s="12"/>
      <c r="H29" s="12"/>
      <c r="I29" s="12"/>
    </row>
    <row r="30" spans="1:9" ht="17.5">
      <c r="A30" s="12"/>
      <c r="B30" s="12"/>
      <c r="C30" s="378" t="s">
        <v>427</v>
      </c>
      <c r="D30" s="380">
        <f>+CAPM!G45</f>
        <v>8.1235000000000002E-2</v>
      </c>
      <c r="E30" s="381"/>
      <c r="F30" s="12"/>
      <c r="G30" s="12"/>
      <c r="H30" s="12"/>
      <c r="I30" s="12"/>
    </row>
    <row r="31" spans="1:9" ht="17.5">
      <c r="A31" s="12"/>
      <c r="B31" s="12"/>
      <c r="C31" s="378" t="s">
        <v>441</v>
      </c>
      <c r="D31" s="380">
        <f>+CAPM!G46</f>
        <v>9.4060749999999999E-2</v>
      </c>
      <c r="E31" s="381"/>
      <c r="F31" s="12"/>
      <c r="G31" s="12"/>
      <c r="H31" s="12"/>
      <c r="I31" s="12"/>
    </row>
    <row r="32" spans="1:9" ht="17.5">
      <c r="A32" s="12"/>
      <c r="B32" s="12"/>
      <c r="C32" s="378" t="s">
        <v>431</v>
      </c>
      <c r="D32" s="380">
        <f>+CAPM!G47</f>
        <v>7.9751749999999996E-2</v>
      </c>
      <c r="E32" s="381"/>
      <c r="F32" s="12"/>
      <c r="G32" s="12"/>
      <c r="H32" s="12"/>
      <c r="I32" s="12"/>
    </row>
    <row r="33" spans="1:9" ht="17.5">
      <c r="A33" s="12"/>
      <c r="B33" s="12"/>
      <c r="C33" s="378" t="s">
        <v>428</v>
      </c>
      <c r="D33" s="380">
        <f>+CAPM!G48</f>
        <v>7.8530249999999996E-2</v>
      </c>
      <c r="E33" s="381"/>
      <c r="F33" s="12"/>
      <c r="G33" s="12"/>
      <c r="H33" s="12"/>
      <c r="I33" s="12"/>
    </row>
    <row r="34" spans="1:9" ht="17.5">
      <c r="A34" s="12"/>
      <c r="B34" s="12"/>
      <c r="C34" s="378" t="s">
        <v>162</v>
      </c>
      <c r="D34" s="380">
        <f>+CAPM!G50</f>
        <v>8.4201499999999999E-2</v>
      </c>
      <c r="E34" s="381"/>
      <c r="F34" s="12"/>
      <c r="G34" s="12"/>
      <c r="H34" s="12"/>
      <c r="I34" s="12"/>
    </row>
    <row r="35" spans="1:9" ht="17.5">
      <c r="A35" s="12"/>
      <c r="B35" s="12"/>
      <c r="C35" s="378" t="s">
        <v>163</v>
      </c>
      <c r="D35" s="380">
        <f>+CAPM!G52</f>
        <v>9.0832499999999997E-2</v>
      </c>
      <c r="E35" s="381"/>
      <c r="F35" s="12"/>
      <c r="G35" s="12"/>
      <c r="H35" s="12"/>
      <c r="I35" s="12"/>
    </row>
    <row r="36" spans="1:9" ht="17.5">
      <c r="A36" s="12"/>
      <c r="B36" s="12"/>
      <c r="C36" s="379" t="s">
        <v>164</v>
      </c>
      <c r="D36" s="380">
        <f>+CAPM!G54</f>
        <v>9.7376249999999998E-2</v>
      </c>
      <c r="E36" s="381"/>
      <c r="F36" s="12"/>
      <c r="G36" s="12"/>
      <c r="H36" s="12"/>
      <c r="I36" s="12"/>
    </row>
    <row r="37" spans="1:9" ht="17.5">
      <c r="A37" s="12"/>
      <c r="B37" s="12"/>
      <c r="C37" s="398" t="s">
        <v>165</v>
      </c>
      <c r="D37" s="380">
        <f>+CAPM!G55</f>
        <v>8.6382749999999994E-2</v>
      </c>
      <c r="E37" s="381"/>
      <c r="F37" s="12"/>
      <c r="G37" s="12"/>
      <c r="H37" s="12"/>
      <c r="I37" s="12"/>
    </row>
    <row r="38" spans="1:9" ht="16.5" customHeight="1">
      <c r="A38" s="12"/>
      <c r="B38" s="12"/>
      <c r="C38" s="379" t="s">
        <v>435</v>
      </c>
      <c r="D38" s="380">
        <f>+CAPM!G57</f>
        <v>0.10365824999999999</v>
      </c>
      <c r="E38" s="381" t="s">
        <v>0</v>
      </c>
      <c r="F38" s="12"/>
      <c r="G38" s="12"/>
      <c r="H38" s="12"/>
      <c r="I38" s="12"/>
    </row>
    <row r="39" spans="1:9" ht="16.5" customHeight="1">
      <c r="A39" s="12"/>
      <c r="B39" s="12"/>
      <c r="C39" s="379" t="s">
        <v>436</v>
      </c>
      <c r="D39" s="380">
        <f>+CAPM!G58</f>
        <v>9.5369499999999996E-2</v>
      </c>
      <c r="E39" s="381"/>
      <c r="F39" s="12"/>
      <c r="G39" s="12"/>
      <c r="H39" s="12"/>
      <c r="I39" s="12"/>
    </row>
    <row r="40" spans="1:9" ht="16.5" customHeight="1">
      <c r="A40" s="12"/>
      <c r="B40" s="12"/>
      <c r="C40" s="379" t="s">
        <v>437</v>
      </c>
      <c r="D40" s="380">
        <f>+CAPM!G59</f>
        <v>8.9087499999999986E-2</v>
      </c>
      <c r="E40" s="381"/>
      <c r="F40" s="12"/>
      <c r="G40" s="12"/>
      <c r="H40" s="12"/>
      <c r="I40" s="12"/>
    </row>
    <row r="41" spans="1:9" ht="21.75" customHeight="1">
      <c r="A41" s="12"/>
      <c r="B41" s="12"/>
      <c r="C41" s="293" t="s">
        <v>240</v>
      </c>
      <c r="D41" s="397">
        <f>+'Single Stage Div Growth Model'!I29</f>
        <v>9.5899999999999999E-2</v>
      </c>
      <c r="E41" s="416"/>
      <c r="G41" s="12"/>
      <c r="H41" s="12"/>
      <c r="I41" s="12"/>
    </row>
    <row r="42" spans="1:9" ht="21.75" customHeight="1">
      <c r="A42" s="12"/>
      <c r="B42" s="12"/>
      <c r="C42" s="293" t="s">
        <v>239</v>
      </c>
      <c r="D42" s="225">
        <f>+'Single Stage Div Growth Model'!I31</f>
        <v>8.5000000000000006E-2</v>
      </c>
      <c r="G42" s="12"/>
      <c r="H42" s="12"/>
      <c r="I42" s="12"/>
    </row>
    <row r="43" spans="1:9" ht="21.75" customHeight="1">
      <c r="A43" s="12"/>
      <c r="B43" s="12"/>
      <c r="C43" s="391" t="s">
        <v>241</v>
      </c>
      <c r="D43" s="392">
        <f>+'Two-Stage Div Growth Model'!H33</f>
        <v>7.9100000000000004E-2</v>
      </c>
      <c r="G43" s="83" t="s">
        <v>0</v>
      </c>
      <c r="H43" s="12"/>
      <c r="I43" s="12"/>
    </row>
    <row r="44" spans="1:9" ht="21.75" customHeight="1">
      <c r="A44" s="12"/>
      <c r="B44" s="12"/>
      <c r="C44" s="399" t="s">
        <v>377</v>
      </c>
      <c r="D44" s="400">
        <f>+'Direct NOPAT'!G60</f>
        <v>5.04E-2</v>
      </c>
      <c r="E44" s="393" t="s">
        <v>0</v>
      </c>
      <c r="F44" s="12"/>
      <c r="G44" s="12"/>
      <c r="H44" s="12"/>
      <c r="I44" s="12"/>
    </row>
    <row r="45" spans="1:9" ht="17.5" thickBot="1">
      <c r="A45" s="12"/>
      <c r="B45" s="12"/>
      <c r="C45" s="12"/>
      <c r="D45" s="70"/>
      <c r="E45" s="12"/>
      <c r="F45" s="12"/>
      <c r="G45" s="12"/>
      <c r="H45" s="12"/>
      <c r="I45" s="12"/>
    </row>
    <row r="46" spans="1:9" ht="17.5" thickTop="1">
      <c r="A46" s="12"/>
      <c r="B46" s="12"/>
      <c r="C46" s="14" t="s">
        <v>45</v>
      </c>
      <c r="D46" s="52">
        <f>MAX(D15:D43)</f>
        <v>0.10365824999999999</v>
      </c>
      <c r="E46" s="154"/>
      <c r="F46" s="12"/>
      <c r="G46" s="12"/>
      <c r="H46" s="12"/>
      <c r="I46" s="12"/>
    </row>
    <row r="47" spans="1:9" ht="17">
      <c r="A47" s="12"/>
      <c r="B47" s="12"/>
      <c r="C47" s="14" t="s">
        <v>46</v>
      </c>
      <c r="D47" s="369">
        <f>MIN(D15:D43)</f>
        <v>6.5253000000000005E-2</v>
      </c>
      <c r="E47" s="12"/>
      <c r="F47" s="12"/>
      <c r="G47" s="52"/>
      <c r="H47" s="52"/>
      <c r="I47" s="52"/>
    </row>
    <row r="48" spans="1:9" ht="17">
      <c r="A48" s="12"/>
      <c r="B48" s="12"/>
      <c r="C48" s="14" t="s">
        <v>18</v>
      </c>
      <c r="D48" s="83">
        <f>MEDIAN(D15:D43)</f>
        <v>8.5000000000000006E-2</v>
      </c>
      <c r="E48" s="83"/>
      <c r="F48" s="83"/>
      <c r="G48" s="83"/>
      <c r="H48" s="83"/>
      <c r="I48" s="83"/>
    </row>
    <row r="49" spans="1:9" ht="17">
      <c r="A49" s="12"/>
      <c r="B49" s="12"/>
      <c r="C49" s="14" t="s">
        <v>409</v>
      </c>
      <c r="D49" s="84">
        <f>AVERAGE(D15:D43)</f>
        <v>8.4883232758620683E-2</v>
      </c>
      <c r="E49" s="83"/>
      <c r="F49" s="83"/>
      <c r="G49" s="83"/>
      <c r="H49" s="83"/>
      <c r="I49" s="83"/>
    </row>
    <row r="50" spans="1:9" ht="17">
      <c r="A50" s="12"/>
      <c r="B50" s="12"/>
      <c r="C50" s="14" t="s">
        <v>408</v>
      </c>
      <c r="D50" s="84">
        <f>HARMEAN(D15:D43)</f>
        <v>8.361518781954945E-2</v>
      </c>
      <c r="E50" s="84"/>
      <c r="F50" s="84"/>
      <c r="G50" s="84"/>
      <c r="H50" s="84"/>
      <c r="I50" s="84"/>
    </row>
    <row r="51" spans="1:9" ht="17.5" thickBot="1">
      <c r="A51" s="12"/>
      <c r="B51" s="12"/>
      <c r="C51" s="12"/>
      <c r="D51" s="12" t="s">
        <v>193</v>
      </c>
      <c r="E51" s="12"/>
      <c r="F51" s="12"/>
      <c r="G51" s="12"/>
      <c r="H51" s="12"/>
      <c r="I51" s="12"/>
    </row>
    <row r="52" spans="1:9" ht="26" thickBot="1">
      <c r="A52" s="12"/>
      <c r="B52" s="12"/>
      <c r="C52" s="215" t="s">
        <v>248</v>
      </c>
      <c r="D52" s="415">
        <v>8.4900000000000003E-2</v>
      </c>
      <c r="E52" s="85"/>
      <c r="F52" s="85"/>
    </row>
    <row r="53" spans="1:9" ht="25.5">
      <c r="A53" s="12"/>
      <c r="B53" s="12"/>
      <c r="C53" s="49"/>
      <c r="D53" s="402"/>
      <c r="E53" s="85"/>
      <c r="F53" s="85"/>
    </row>
    <row r="54" spans="1:9" ht="25.5">
      <c r="A54" s="12"/>
      <c r="B54" s="12"/>
      <c r="C54" s="49"/>
      <c r="D54" s="402"/>
      <c r="E54" s="85"/>
      <c r="F54" s="85"/>
    </row>
    <row r="55" spans="1:9" ht="25.5">
      <c r="A55" s="12"/>
      <c r="B55" s="12"/>
      <c r="C55" s="49"/>
      <c r="D55" s="402"/>
      <c r="E55" s="85"/>
      <c r="F55" s="85"/>
    </row>
    <row r="56" spans="1:9" ht="17.5">
      <c r="A56" s="107" t="s">
        <v>249</v>
      </c>
      <c r="B56" s="12"/>
      <c r="C56" s="12"/>
      <c r="D56" s="12"/>
      <c r="E56" s="12"/>
      <c r="F56" s="12"/>
      <c r="G56" s="12"/>
      <c r="H56" s="12"/>
      <c r="I56" s="12"/>
    </row>
    <row r="57" spans="1:9" ht="17.5">
      <c r="A57" s="107" t="s">
        <v>380</v>
      </c>
      <c r="B57" s="12"/>
      <c r="C57" s="12"/>
      <c r="D57" s="12"/>
      <c r="E57" s="12"/>
      <c r="F57" s="12"/>
      <c r="G57" s="12"/>
      <c r="H57" s="12"/>
      <c r="I57" s="12"/>
    </row>
    <row r="58" spans="1:9" ht="17">
      <c r="A58" s="12"/>
      <c r="B58" s="12"/>
      <c r="C58" s="12"/>
      <c r="D58" s="12"/>
      <c r="E58" s="12"/>
      <c r="F58" s="12"/>
      <c r="G58" s="12"/>
      <c r="H58" s="12"/>
      <c r="I58" s="12"/>
    </row>
    <row r="59" spans="1:9" ht="17">
      <c r="A59" s="12"/>
      <c r="B59" s="12"/>
      <c r="C59" s="12"/>
      <c r="D59" s="12"/>
      <c r="E59" s="12"/>
      <c r="F59" s="12"/>
      <c r="G59" s="12"/>
      <c r="H59" s="12"/>
      <c r="I59" s="12"/>
    </row>
    <row r="60" spans="1:9" ht="17">
      <c r="A60" s="12"/>
      <c r="B60" s="12"/>
      <c r="C60" s="12"/>
      <c r="D60" s="12"/>
      <c r="E60" s="12"/>
      <c r="F60" s="12"/>
      <c r="G60" s="12"/>
      <c r="H60" s="12"/>
      <c r="I60" s="12"/>
    </row>
    <row r="61" spans="1:9" ht="17">
      <c r="A61" s="12"/>
      <c r="B61" s="12"/>
      <c r="C61" s="12"/>
      <c r="D61" s="12"/>
      <c r="E61" s="12"/>
      <c r="F61" s="12"/>
      <c r="G61" s="12"/>
      <c r="H61" s="12"/>
      <c r="I61" s="12"/>
    </row>
    <row r="62" spans="1:9" ht="17">
      <c r="A62" s="12"/>
      <c r="B62" s="12"/>
      <c r="C62" s="12"/>
      <c r="D62" s="12" t="s">
        <v>0</v>
      </c>
      <c r="E62" s="12"/>
      <c r="F62" s="12"/>
      <c r="G62" s="12"/>
      <c r="H62" s="12"/>
      <c r="I62" s="12"/>
    </row>
    <row r="63" spans="1:9" ht="17">
      <c r="A63" s="12"/>
      <c r="B63" s="12"/>
      <c r="C63" s="12"/>
      <c r="D63" s="12" t="s">
        <v>0</v>
      </c>
      <c r="E63" s="12"/>
      <c r="F63" s="12"/>
      <c r="G63" s="12"/>
      <c r="H63" s="12"/>
      <c r="I63" s="12"/>
    </row>
    <row r="64" spans="1:9" ht="17">
      <c r="A64" s="12"/>
      <c r="B64" s="12"/>
      <c r="C64" s="12"/>
      <c r="D64" s="12"/>
      <c r="E64" s="12"/>
      <c r="F64" s="12"/>
      <c r="G64" s="12"/>
      <c r="H64" s="12"/>
      <c r="I64" s="12"/>
    </row>
    <row r="65" spans="1:9" ht="17">
      <c r="A65" s="12"/>
      <c r="B65" s="12"/>
      <c r="C65" s="12"/>
      <c r="D65" s="12"/>
      <c r="E65" s="12"/>
      <c r="F65" s="12"/>
      <c r="G65" s="12"/>
      <c r="H65" s="12"/>
      <c r="I65" s="12"/>
    </row>
    <row r="66" spans="1:9" ht="17">
      <c r="A66" s="12"/>
      <c r="B66" s="12"/>
      <c r="C66" s="12"/>
      <c r="D66" s="12"/>
      <c r="E66" s="12"/>
      <c r="F66" s="12"/>
      <c r="G66" s="12"/>
      <c r="H66" s="12"/>
      <c r="I66" s="12"/>
    </row>
    <row r="67" spans="1:9" ht="17">
      <c r="A67" s="12"/>
      <c r="B67" s="12"/>
      <c r="C67" s="12"/>
      <c r="D67" s="12"/>
      <c r="E67" s="12"/>
      <c r="F67" s="12"/>
      <c r="G67" s="12"/>
      <c r="H67" s="12"/>
      <c r="I67" s="12"/>
    </row>
    <row r="68" spans="1:9" ht="17">
      <c r="A68" s="12"/>
      <c r="B68" s="12"/>
      <c r="C68" s="12"/>
      <c r="D68" s="12"/>
      <c r="E68" s="12"/>
      <c r="F68" s="12"/>
      <c r="G68" s="12"/>
      <c r="H68" s="12"/>
      <c r="I68" s="12"/>
    </row>
    <row r="69" spans="1:9" ht="17">
      <c r="A69" s="12"/>
      <c r="B69" s="12"/>
      <c r="C69" s="12"/>
      <c r="D69" s="12"/>
      <c r="E69" s="12"/>
      <c r="F69" s="12"/>
      <c r="G69" s="12"/>
      <c r="H69" s="12"/>
      <c r="I69" s="12"/>
    </row>
    <row r="70" spans="1:9" ht="17">
      <c r="A70" s="12"/>
      <c r="B70" s="12"/>
      <c r="C70" s="12"/>
      <c r="D70" s="12"/>
      <c r="E70" s="12"/>
      <c r="F70" s="12"/>
      <c r="G70" s="12"/>
      <c r="H70" s="12"/>
      <c r="I70" s="12"/>
    </row>
    <row r="71" spans="1:9" ht="17">
      <c r="A71" s="12"/>
      <c r="B71" s="12"/>
      <c r="C71" s="12"/>
      <c r="D71" s="12"/>
      <c r="E71" s="12"/>
      <c r="F71" s="12"/>
      <c r="G71" s="12"/>
      <c r="H71" s="12"/>
      <c r="I71" s="12"/>
    </row>
    <row r="72" spans="1:9" ht="17">
      <c r="A72" s="12"/>
      <c r="B72" s="12"/>
      <c r="C72" s="12"/>
      <c r="D72" s="12"/>
      <c r="E72" s="12"/>
      <c r="F72" s="12"/>
      <c r="G72" s="12"/>
      <c r="H72" s="12"/>
      <c r="I72" s="12"/>
    </row>
    <row r="73" spans="1:9" ht="17">
      <c r="A73" s="12"/>
      <c r="B73" s="12"/>
      <c r="C73" s="12"/>
      <c r="D73" s="12"/>
      <c r="E73" s="12"/>
      <c r="F73" s="12"/>
      <c r="G73" s="12"/>
      <c r="H73" s="12"/>
      <c r="I73" s="12"/>
    </row>
    <row r="74" spans="1:9" ht="17">
      <c r="A74" s="12"/>
      <c r="B74" s="12"/>
      <c r="C74" s="12"/>
      <c r="D74" s="12"/>
      <c r="E74" s="12"/>
      <c r="F74" s="12"/>
      <c r="G74" s="12"/>
      <c r="H74" s="12"/>
      <c r="I74" s="12"/>
    </row>
    <row r="75" spans="1:9" ht="17">
      <c r="A75" s="12"/>
      <c r="B75" s="12"/>
      <c r="C75" s="12"/>
      <c r="D75" s="12"/>
      <c r="E75" s="12"/>
      <c r="F75" s="12"/>
      <c r="G75" s="12"/>
      <c r="H75" s="12"/>
      <c r="I75" s="12"/>
    </row>
    <row r="76" spans="1:9" ht="17">
      <c r="A76" s="12"/>
      <c r="B76" s="12"/>
      <c r="C76" s="12"/>
      <c r="D76" s="12"/>
      <c r="E76" s="12"/>
      <c r="F76" s="12"/>
      <c r="G76" s="12"/>
      <c r="H76" s="12"/>
      <c r="I76" s="12"/>
    </row>
    <row r="77" spans="1:9" ht="17">
      <c r="A77" s="12"/>
      <c r="B77" s="12"/>
      <c r="C77" s="12"/>
      <c r="D77" s="12"/>
      <c r="E77" s="12"/>
      <c r="F77" s="12"/>
      <c r="G77" s="12"/>
      <c r="H77" s="12"/>
      <c r="I77" s="12"/>
    </row>
    <row r="78" spans="1:9" ht="17">
      <c r="A78" s="12"/>
      <c r="B78" s="12"/>
      <c r="C78" s="12"/>
      <c r="D78" s="12"/>
      <c r="E78" s="12"/>
      <c r="F78" s="12"/>
      <c r="G78" s="12"/>
      <c r="H78" s="12"/>
      <c r="I78" s="12"/>
    </row>
    <row r="79" spans="1:9" ht="17">
      <c r="A79" s="12"/>
      <c r="B79" s="12"/>
      <c r="C79" s="12"/>
      <c r="D79" s="12"/>
      <c r="E79" s="12"/>
      <c r="F79" s="12"/>
      <c r="G79" s="12"/>
      <c r="H79" s="12"/>
      <c r="I79" s="12"/>
    </row>
    <row r="80" spans="1:9" ht="17">
      <c r="A80" s="12"/>
      <c r="B80" s="12"/>
      <c r="C80" s="12"/>
      <c r="D80" s="12"/>
      <c r="E80" s="12"/>
      <c r="F80" s="12"/>
      <c r="G80" s="12"/>
      <c r="H80" s="12"/>
      <c r="I80" s="12"/>
    </row>
    <row r="81" spans="1:9" ht="17">
      <c r="A81" s="12"/>
      <c r="B81" s="12"/>
      <c r="C81" s="12"/>
      <c r="D81" s="12"/>
      <c r="E81" s="12"/>
      <c r="F81" s="12"/>
      <c r="G81" s="12"/>
      <c r="H81" s="12"/>
      <c r="I81" s="12"/>
    </row>
    <row r="82" spans="1:9" ht="17">
      <c r="A82" s="12"/>
      <c r="B82" s="12"/>
      <c r="C82" s="12"/>
      <c r="D82" s="12"/>
      <c r="E82" s="12"/>
      <c r="F82" s="12"/>
      <c r="G82" s="12"/>
      <c r="H82" s="12"/>
      <c r="I82" s="12"/>
    </row>
    <row r="83" spans="1:9" ht="17">
      <c r="A83" s="12"/>
      <c r="B83" s="12"/>
      <c r="C83" s="12"/>
      <c r="D83" s="12"/>
      <c r="E83" s="12"/>
      <c r="F83" s="12"/>
      <c r="G83" s="12"/>
      <c r="H83" s="12"/>
      <c r="I83" s="12"/>
    </row>
    <row r="84" spans="1:9" ht="17">
      <c r="A84" s="12"/>
      <c r="B84" s="12"/>
      <c r="C84" s="12"/>
      <c r="D84" s="12"/>
      <c r="E84" s="12"/>
      <c r="F84" s="12"/>
      <c r="G84" s="12"/>
      <c r="H84" s="12"/>
      <c r="I84" s="12"/>
    </row>
    <row r="85" spans="1:9" ht="17">
      <c r="A85" s="12"/>
      <c r="B85" s="12"/>
      <c r="C85" s="12"/>
      <c r="D85" s="12"/>
      <c r="E85" s="12"/>
      <c r="F85" s="12"/>
      <c r="G85" s="12"/>
      <c r="H85" s="12"/>
      <c r="I85" s="12"/>
    </row>
    <row r="86" spans="1:9" ht="17">
      <c r="A86" s="12"/>
      <c r="B86" s="12"/>
      <c r="C86" s="12"/>
      <c r="D86" s="12"/>
      <c r="E86" s="12"/>
      <c r="F86" s="12"/>
      <c r="G86" s="12"/>
      <c r="H86" s="12"/>
      <c r="I86" s="12"/>
    </row>
    <row r="87" spans="1:9" ht="17">
      <c r="A87" s="12"/>
      <c r="B87" s="12"/>
      <c r="C87" s="12"/>
      <c r="D87" s="12"/>
      <c r="E87" s="12"/>
      <c r="F87" s="12"/>
      <c r="G87" s="12"/>
      <c r="H87" s="12"/>
      <c r="I87" s="12"/>
    </row>
    <row r="88" spans="1:9" ht="17">
      <c r="A88" s="12"/>
      <c r="B88" s="12"/>
      <c r="C88" s="12"/>
      <c r="D88" s="12"/>
      <c r="E88" s="12"/>
      <c r="F88" s="12"/>
      <c r="G88" s="12"/>
      <c r="H88" s="12"/>
      <c r="I88" s="12"/>
    </row>
    <row r="89" spans="1:9" ht="17">
      <c r="A89" s="12"/>
      <c r="B89" s="12"/>
      <c r="C89" s="12"/>
      <c r="D89" s="12"/>
      <c r="E89" s="12"/>
      <c r="F89" s="12"/>
      <c r="G89" s="12"/>
      <c r="H89" s="12"/>
      <c r="I89" s="12"/>
    </row>
    <row r="90" spans="1:9" ht="17">
      <c r="A90" s="12"/>
      <c r="B90" s="12"/>
      <c r="C90" s="12"/>
      <c r="D90" s="12"/>
      <c r="E90" s="12"/>
      <c r="F90" s="12"/>
      <c r="G90" s="12"/>
      <c r="H90" s="12"/>
      <c r="I90" s="12"/>
    </row>
    <row r="91" spans="1:9" ht="17">
      <c r="A91" s="12"/>
      <c r="B91" s="12"/>
      <c r="C91" s="12"/>
      <c r="D91" s="12"/>
      <c r="E91" s="12"/>
      <c r="F91" s="12"/>
      <c r="G91" s="12"/>
      <c r="H91" s="12"/>
      <c r="I91" s="12"/>
    </row>
    <row r="92" spans="1:9" ht="17">
      <c r="A92" s="12"/>
      <c r="B92" s="12"/>
      <c r="C92" s="12"/>
      <c r="D92" s="12"/>
      <c r="E92" s="12"/>
      <c r="F92" s="12"/>
      <c r="G92" s="12"/>
      <c r="H92" s="12"/>
      <c r="I92" s="12"/>
    </row>
    <row r="93" spans="1:9" ht="17">
      <c r="A93" s="12"/>
      <c r="B93" s="12"/>
      <c r="C93" s="12"/>
      <c r="D93" s="12"/>
      <c r="E93" s="12"/>
      <c r="F93" s="12"/>
      <c r="G93" s="12"/>
      <c r="H93" s="12"/>
      <c r="I93" s="12"/>
    </row>
    <row r="94" spans="1:9" ht="17">
      <c r="A94" s="12"/>
      <c r="B94" s="12"/>
      <c r="C94" s="12"/>
      <c r="D94" s="12"/>
      <c r="E94" s="12"/>
      <c r="F94" s="12"/>
      <c r="G94" s="12"/>
      <c r="H94" s="12"/>
      <c r="I94" s="12"/>
    </row>
    <row r="95" spans="1:9" ht="17">
      <c r="A95" s="12"/>
      <c r="B95" s="12"/>
      <c r="C95" s="12"/>
      <c r="D95" s="12"/>
      <c r="E95" s="12"/>
      <c r="F95" s="12"/>
      <c r="G95" s="12"/>
      <c r="H95" s="12"/>
      <c r="I95" s="12"/>
    </row>
    <row r="96" spans="1:9" ht="17">
      <c r="A96" s="12"/>
      <c r="B96" s="12"/>
      <c r="C96" s="12"/>
      <c r="D96" s="12"/>
      <c r="E96" s="12"/>
      <c r="F96" s="12"/>
      <c r="G96" s="12"/>
      <c r="H96" s="12"/>
      <c r="I96" s="12"/>
    </row>
    <row r="97" spans="1:9" ht="17">
      <c r="A97" s="12"/>
      <c r="B97" s="12"/>
      <c r="C97" s="12"/>
      <c r="D97" s="12"/>
      <c r="E97" s="12"/>
      <c r="F97" s="12"/>
      <c r="G97" s="12"/>
      <c r="H97" s="12"/>
      <c r="I97" s="12"/>
    </row>
    <row r="98" spans="1:9" ht="17">
      <c r="A98" s="12"/>
      <c r="B98" s="12"/>
      <c r="C98" s="12"/>
      <c r="D98" s="12"/>
      <c r="E98" s="12"/>
      <c r="F98" s="12"/>
      <c r="G98" s="12"/>
      <c r="H98" s="12"/>
      <c r="I98" s="12"/>
    </row>
    <row r="99" spans="1:9" ht="17">
      <c r="A99" s="12"/>
      <c r="B99" s="12"/>
      <c r="C99" s="12"/>
      <c r="D99" s="12"/>
      <c r="E99" s="12"/>
      <c r="F99" s="12"/>
      <c r="G99" s="12"/>
      <c r="H99" s="12"/>
      <c r="I99" s="12"/>
    </row>
    <row r="100" spans="1:9" ht="17">
      <c r="A100" s="12"/>
      <c r="B100" s="12"/>
      <c r="C100" s="12"/>
      <c r="D100" s="12"/>
      <c r="E100" s="12"/>
      <c r="F100" s="12"/>
      <c r="G100" s="12"/>
      <c r="H100" s="12"/>
      <c r="I100" s="12"/>
    </row>
    <row r="101" spans="1:9" ht="17">
      <c r="A101" s="12"/>
      <c r="B101" s="12"/>
      <c r="C101" s="12"/>
      <c r="D101" s="12"/>
      <c r="E101" s="12"/>
      <c r="F101" s="12"/>
      <c r="G101" s="12"/>
      <c r="H101" s="12"/>
      <c r="I101" s="12"/>
    </row>
    <row r="102" spans="1:9" ht="17">
      <c r="A102" s="12"/>
      <c r="B102" s="12"/>
      <c r="C102" s="12"/>
      <c r="D102" s="12"/>
      <c r="E102" s="12"/>
      <c r="F102" s="12"/>
      <c r="G102" s="12"/>
      <c r="H102" s="12"/>
      <c r="I102" s="12"/>
    </row>
    <row r="103" spans="1:9" ht="17">
      <c r="A103" s="12"/>
      <c r="B103" s="12"/>
      <c r="C103" s="12"/>
      <c r="D103" s="12"/>
      <c r="E103" s="12"/>
      <c r="F103" s="12"/>
      <c r="G103" s="12"/>
      <c r="H103" s="12"/>
      <c r="I103" s="12"/>
    </row>
    <row r="104" spans="1:9" ht="17">
      <c r="A104" s="12"/>
      <c r="B104" s="12"/>
      <c r="C104" s="12"/>
      <c r="D104" s="12"/>
      <c r="E104" s="12"/>
      <c r="F104" s="12"/>
      <c r="G104" s="12"/>
      <c r="H104" s="12"/>
      <c r="I104" s="12"/>
    </row>
    <row r="105" spans="1:9" ht="17">
      <c r="A105" s="12"/>
      <c r="B105" s="12"/>
      <c r="C105" s="12"/>
      <c r="D105" s="12"/>
      <c r="E105" s="12"/>
      <c r="F105" s="12"/>
      <c r="G105" s="12"/>
      <c r="H105" s="12"/>
      <c r="I105" s="12"/>
    </row>
    <row r="106" spans="1:9" ht="17">
      <c r="A106" s="12"/>
      <c r="B106" s="12"/>
      <c r="C106" s="12"/>
      <c r="D106" s="12"/>
      <c r="E106" s="12"/>
      <c r="F106" s="12"/>
      <c r="G106" s="12"/>
      <c r="H106" s="12"/>
      <c r="I106" s="12"/>
    </row>
    <row r="107" spans="1:9" ht="17">
      <c r="A107" s="12"/>
      <c r="B107" s="12"/>
      <c r="C107" s="12"/>
      <c r="D107" s="12"/>
      <c r="E107" s="12"/>
      <c r="F107" s="12"/>
      <c r="G107" s="12"/>
      <c r="H107" s="12"/>
      <c r="I107" s="12"/>
    </row>
    <row r="108" spans="1:9" ht="17">
      <c r="A108" s="12"/>
      <c r="B108" s="12"/>
      <c r="C108" s="12"/>
      <c r="D108" s="12"/>
      <c r="E108" s="12"/>
      <c r="F108" s="12"/>
      <c r="G108" s="12"/>
      <c r="H108" s="12"/>
      <c r="I108" s="12"/>
    </row>
  </sheetData>
  <pageMargins left="0.25" right="0.25" top="0.75" bottom="0.75" header="0.3" footer="0.3"/>
  <pageSetup scale="47"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20B233-0C30-4939-8382-3A178982D907}">
  <sheetPr>
    <tabColor rgb="FF92D050"/>
    <pageSetUpPr fitToPage="1"/>
  </sheetPr>
  <dimension ref="A1:J84"/>
  <sheetViews>
    <sheetView view="pageBreakPreview" topLeftCell="A32" zoomScale="60" zoomScaleNormal="80" workbookViewId="0">
      <selection activeCell="G32" sqref="G32"/>
    </sheetView>
  </sheetViews>
  <sheetFormatPr defaultRowHeight="14.5"/>
  <cols>
    <col min="1" max="1" width="81.453125" customWidth="1"/>
    <col min="2" max="2" width="21.7265625" customWidth="1"/>
    <col min="3" max="3" width="24.54296875" customWidth="1"/>
    <col min="4" max="4" width="29.453125" customWidth="1"/>
    <col min="5" max="5" width="30.54296875" customWidth="1"/>
    <col min="6" max="6" width="32.1796875" customWidth="1"/>
    <col min="7" max="7" width="27" customWidth="1"/>
    <col min="8" max="8" width="13.7265625" customWidth="1"/>
    <col min="9" max="9" width="13.81640625" customWidth="1"/>
    <col min="10" max="11" width="14.1796875" bestFit="1" customWidth="1"/>
  </cols>
  <sheetData>
    <row r="1" spans="1:10" ht="25.5">
      <c r="A1" s="23" t="s">
        <v>1</v>
      </c>
      <c r="B1" s="23"/>
      <c r="C1" s="23"/>
      <c r="D1" s="12"/>
      <c r="E1" s="12"/>
      <c r="F1" s="12"/>
      <c r="G1" s="12"/>
      <c r="H1" s="12"/>
      <c r="I1" s="12"/>
      <c r="J1" s="12"/>
    </row>
    <row r="2" spans="1:10" ht="17.5">
      <c r="A2" s="24" t="s">
        <v>9</v>
      </c>
      <c r="B2" s="24"/>
      <c r="C2" s="24"/>
      <c r="D2" s="12"/>
      <c r="E2" s="12"/>
      <c r="F2" s="12"/>
      <c r="G2" s="12"/>
      <c r="H2" s="12"/>
      <c r="I2" s="12"/>
      <c r="J2" s="12"/>
    </row>
    <row r="3" spans="1:10" ht="17">
      <c r="A3" s="25" t="s">
        <v>452</v>
      </c>
      <c r="B3" s="25"/>
      <c r="C3" s="25"/>
      <c r="D3" s="12"/>
      <c r="E3" s="12"/>
      <c r="F3" s="12"/>
      <c r="G3" s="12"/>
      <c r="H3" s="12"/>
      <c r="I3" s="12"/>
      <c r="J3" s="12"/>
    </row>
    <row r="4" spans="1:10" ht="17">
      <c r="A4" s="25"/>
      <c r="B4" s="25"/>
      <c r="C4" s="25"/>
      <c r="D4" s="12"/>
      <c r="E4" s="12"/>
      <c r="F4" s="12"/>
      <c r="G4" s="12"/>
      <c r="H4" s="12"/>
      <c r="I4" s="12"/>
      <c r="J4" s="12"/>
    </row>
    <row r="5" spans="1:10" ht="17.5" thickBot="1">
      <c r="A5" s="12"/>
      <c r="B5" s="12"/>
      <c r="C5" s="12"/>
      <c r="D5" s="12"/>
      <c r="E5" s="12"/>
      <c r="F5" s="12"/>
      <c r="G5" s="12"/>
      <c r="H5" s="26" t="s">
        <v>0</v>
      </c>
      <c r="I5" s="26"/>
      <c r="J5" s="12"/>
    </row>
    <row r="6" spans="1:10" ht="21.5" thickBot="1">
      <c r="A6" s="27" t="str">
        <f>+'S&amp;D'!A12</f>
        <v>Water Utility Companies (Private)</v>
      </c>
      <c r="B6" s="12"/>
      <c r="C6" s="12"/>
      <c r="D6" s="28"/>
      <c r="E6" s="28"/>
      <c r="F6" s="28"/>
      <c r="G6" s="12"/>
      <c r="H6" s="12"/>
      <c r="I6" s="12"/>
      <c r="J6" s="12"/>
    </row>
    <row r="7" spans="1:10" ht="25.5">
      <c r="B7" s="30"/>
      <c r="C7" s="30"/>
      <c r="D7" s="12"/>
      <c r="E7" s="31" t="s">
        <v>210</v>
      </c>
      <c r="F7" s="12"/>
      <c r="G7" s="12"/>
      <c r="H7" s="12"/>
      <c r="I7" s="12"/>
      <c r="J7" s="12"/>
    </row>
    <row r="8" spans="1:10" ht="21.5" thickBot="1">
      <c r="A8" s="30"/>
      <c r="B8" s="30"/>
      <c r="C8" s="30"/>
      <c r="D8" s="28"/>
      <c r="E8" s="36" t="s">
        <v>453</v>
      </c>
      <c r="F8" s="28"/>
      <c r="G8" s="12"/>
      <c r="H8" s="12"/>
      <c r="I8" s="12"/>
      <c r="J8" s="12"/>
    </row>
    <row r="9" spans="1:10" ht="21">
      <c r="A9" s="30"/>
      <c r="B9" s="30"/>
      <c r="C9" s="30"/>
      <c r="D9" s="12"/>
      <c r="E9" s="34"/>
      <c r="F9" s="12"/>
      <c r="G9" s="12"/>
      <c r="H9" s="12"/>
      <c r="I9" s="12"/>
      <c r="J9" s="12"/>
    </row>
    <row r="10" spans="1:10" ht="21">
      <c r="A10" s="30"/>
      <c r="B10" s="30"/>
      <c r="H10" s="12"/>
      <c r="I10" s="12"/>
      <c r="J10" s="12"/>
    </row>
    <row r="11" spans="1:10" ht="21">
      <c r="A11" s="30"/>
      <c r="B11" s="30"/>
      <c r="H11" s="12"/>
      <c r="I11" s="12"/>
      <c r="J11" s="12"/>
    </row>
    <row r="12" spans="1:10" ht="30" customHeight="1" thickBot="1">
      <c r="A12" s="30"/>
      <c r="B12" s="30"/>
      <c r="C12" t="s">
        <v>0</v>
      </c>
      <c r="H12" s="12"/>
      <c r="I12" s="12"/>
      <c r="J12" s="12"/>
    </row>
    <row r="13" spans="1:10" ht="26.25" customHeight="1" thickBot="1">
      <c r="A13" s="167" t="s">
        <v>227</v>
      </c>
      <c r="B13" s="12" t="s">
        <v>0</v>
      </c>
      <c r="C13" s="12"/>
      <c r="D13" s="12"/>
      <c r="E13" s="12"/>
      <c r="F13" s="12"/>
      <c r="G13" s="12"/>
      <c r="H13" s="12"/>
      <c r="I13" s="12"/>
      <c r="J13" s="12"/>
    </row>
    <row r="14" spans="1:10" ht="42" customHeight="1" thickBot="1">
      <c r="A14" s="166" t="s">
        <v>225</v>
      </c>
      <c r="B14" s="165" t="s">
        <v>215</v>
      </c>
      <c r="C14" s="164" t="s">
        <v>228</v>
      </c>
      <c r="D14" s="165" t="s">
        <v>217</v>
      </c>
      <c r="E14" s="165" t="s">
        <v>404</v>
      </c>
      <c r="F14" s="163" t="s">
        <v>216</v>
      </c>
      <c r="G14" s="12"/>
      <c r="H14" s="12"/>
      <c r="I14" s="12"/>
      <c r="J14" s="12"/>
    </row>
    <row r="15" spans="1:10" ht="17">
      <c r="A15" s="160"/>
      <c r="B15" s="113"/>
      <c r="C15" s="113"/>
      <c r="D15" s="113"/>
      <c r="E15" s="113"/>
      <c r="F15" s="161"/>
      <c r="G15" s="12"/>
      <c r="H15" s="12"/>
      <c r="I15" s="12"/>
      <c r="J15" s="12"/>
    </row>
    <row r="16" spans="1:10" ht="17.5">
      <c r="A16" s="208" t="s">
        <v>406</v>
      </c>
      <c r="B16" s="221">
        <v>2.9100000000000001E-2</v>
      </c>
      <c r="C16" s="218">
        <f>+'Beta for CAPM'!I29</f>
        <v>0.83</v>
      </c>
      <c r="D16" s="209">
        <f>+B16*C16</f>
        <v>2.4153000000000001E-2</v>
      </c>
      <c r="E16" s="209">
        <f>+'Growth &amp; Inflation Rates'!$F$93</f>
        <v>4.1099999999999998E-2</v>
      </c>
      <c r="F16" s="210">
        <f>+D16+E16</f>
        <v>6.5253000000000005E-2</v>
      </c>
      <c r="G16" s="12"/>
      <c r="H16" s="12"/>
      <c r="I16" s="12"/>
      <c r="J16" s="12"/>
    </row>
    <row r="17" spans="1:10" ht="17.5">
      <c r="A17" s="208" t="s">
        <v>407</v>
      </c>
      <c r="B17" s="221">
        <v>3.0800000000000001E-2</v>
      </c>
      <c r="C17" s="218">
        <f>+C16</f>
        <v>0.83</v>
      </c>
      <c r="D17" s="209">
        <f>+B17*C17</f>
        <v>2.5564E-2</v>
      </c>
      <c r="E17" s="209">
        <f>+'Growth &amp; Inflation Rates'!$F$93</f>
        <v>4.1099999999999998E-2</v>
      </c>
      <c r="F17" s="210">
        <f>+D17+E17</f>
        <v>6.6664000000000001E-2</v>
      </c>
      <c r="G17" s="12"/>
      <c r="H17" s="12"/>
      <c r="I17" s="12"/>
      <c r="J17" s="12"/>
    </row>
    <row r="18" spans="1:10" ht="17.5">
      <c r="A18" s="211"/>
      <c r="B18" s="107"/>
      <c r="C18" s="107"/>
      <c r="D18" s="107"/>
      <c r="E18" s="209"/>
      <c r="F18" s="212"/>
      <c r="G18" s="12"/>
      <c r="H18" s="12"/>
      <c r="I18" s="12"/>
      <c r="J18" s="12"/>
    </row>
    <row r="19" spans="1:10" ht="17.5">
      <c r="A19" s="208" t="s">
        <v>423</v>
      </c>
      <c r="B19" s="221">
        <v>4.5999999999999999E-2</v>
      </c>
      <c r="C19" s="218">
        <f>+C16</f>
        <v>0.83</v>
      </c>
      <c r="D19" s="209">
        <f>+B19*C19</f>
        <v>3.8179999999999999E-2</v>
      </c>
      <c r="E19" s="209">
        <f>+'Growth &amp; Inflation Rates'!$F$93</f>
        <v>4.1099999999999998E-2</v>
      </c>
      <c r="F19" s="210">
        <f>+D19+E19</f>
        <v>7.9279999999999989E-2</v>
      </c>
      <c r="G19" s="12"/>
      <c r="H19" s="12"/>
      <c r="I19" s="12"/>
      <c r="J19" s="12"/>
    </row>
    <row r="20" spans="1:10" ht="17.5">
      <c r="A20" s="208" t="s">
        <v>439</v>
      </c>
      <c r="B20" s="221">
        <v>6.0699999999999997E-2</v>
      </c>
      <c r="C20" s="218">
        <f>+C17</f>
        <v>0.83</v>
      </c>
      <c r="D20" s="209">
        <f>+B20*C20</f>
        <v>5.0380999999999995E-2</v>
      </c>
      <c r="E20" s="209">
        <f>+'Growth &amp; Inflation Rates'!$F$93</f>
        <v>4.1099999999999998E-2</v>
      </c>
      <c r="F20" s="210">
        <f>+D20+E20</f>
        <v>9.1480999999999993E-2</v>
      </c>
      <c r="G20" s="12"/>
      <c r="H20" s="12"/>
      <c r="I20" s="12"/>
      <c r="J20" s="12"/>
    </row>
    <row r="21" spans="1:10" ht="17.5">
      <c r="A21" s="208" t="s">
        <v>429</v>
      </c>
      <c r="B21" s="221">
        <v>4.4299999999999999E-2</v>
      </c>
      <c r="C21" s="218">
        <f>+C16</f>
        <v>0.83</v>
      </c>
      <c r="D21" s="209">
        <f>+B21*C21</f>
        <v>3.6768999999999996E-2</v>
      </c>
      <c r="E21" s="209">
        <f>+'Growth &amp; Inflation Rates'!$F$93</f>
        <v>4.1099999999999998E-2</v>
      </c>
      <c r="F21" s="210">
        <f>+D21+E21</f>
        <v>7.7868999999999994E-2</v>
      </c>
      <c r="G21" s="12"/>
      <c r="H21" s="12"/>
      <c r="I21" s="12"/>
      <c r="J21" s="12"/>
    </row>
    <row r="22" spans="1:10" ht="17.5">
      <c r="A22" s="208" t="s">
        <v>424</v>
      </c>
      <c r="B22" s="221">
        <v>4.2900000000000001E-2</v>
      </c>
      <c r="C22" s="218">
        <f>+C17</f>
        <v>0.83</v>
      </c>
      <c r="D22" s="209">
        <f>+B22*C22</f>
        <v>3.5607E-2</v>
      </c>
      <c r="E22" s="209">
        <f>+'Growth &amp; Inflation Rates'!$F$93</f>
        <v>4.1099999999999998E-2</v>
      </c>
      <c r="F22" s="210">
        <f>+D22+E22</f>
        <v>7.6706999999999997E-2</v>
      </c>
      <c r="G22" s="12"/>
      <c r="H22" s="12"/>
      <c r="I22" s="12"/>
      <c r="J22" s="12"/>
    </row>
    <row r="23" spans="1:10" ht="17.5">
      <c r="A23" s="208" t="s">
        <v>0</v>
      </c>
      <c r="B23" s="221" t="s">
        <v>0</v>
      </c>
      <c r="C23" s="219" t="s">
        <v>0</v>
      </c>
      <c r="D23" s="209" t="s">
        <v>0</v>
      </c>
      <c r="E23" s="209"/>
      <c r="F23" s="210" t="s">
        <v>0</v>
      </c>
      <c r="G23" s="12"/>
      <c r="H23" s="12"/>
      <c r="I23" s="12"/>
      <c r="J23" s="12"/>
    </row>
    <row r="24" spans="1:10" ht="17.5">
      <c r="A24" s="208" t="s">
        <v>220</v>
      </c>
      <c r="B24" s="221">
        <v>4.9399999999999999E-2</v>
      </c>
      <c r="C24" s="218">
        <f>+C16</f>
        <v>0.83</v>
      </c>
      <c r="D24" s="209">
        <f>+B24*C24</f>
        <v>4.1001999999999997E-2</v>
      </c>
      <c r="E24" s="209">
        <f>+'Growth &amp; Inflation Rates'!$F$93</f>
        <v>4.1099999999999998E-2</v>
      </c>
      <c r="F24" s="210">
        <f>+D24+E24</f>
        <v>8.2101999999999994E-2</v>
      </c>
      <c r="G24" s="12"/>
      <c r="H24" s="12"/>
      <c r="I24" s="12"/>
      <c r="J24" s="12"/>
    </row>
    <row r="25" spans="1:10" ht="17.5">
      <c r="A25" s="208" t="s">
        <v>0</v>
      </c>
      <c r="B25" s="221" t="s">
        <v>0</v>
      </c>
      <c r="C25" s="219" t="s">
        <v>0</v>
      </c>
      <c r="D25" s="209" t="s">
        <v>0</v>
      </c>
      <c r="E25" s="209"/>
      <c r="F25" s="210" t="s">
        <v>0</v>
      </c>
      <c r="G25" s="12"/>
      <c r="H25" s="12"/>
      <c r="I25" s="12"/>
      <c r="J25" s="12"/>
    </row>
    <row r="26" spans="1:10" ht="17.5">
      <c r="A26" s="208" t="s">
        <v>221</v>
      </c>
      <c r="B26" s="221">
        <v>5.7000000000000002E-2</v>
      </c>
      <c r="C26" s="218">
        <f>+C16</f>
        <v>0.83</v>
      </c>
      <c r="D26" s="209">
        <f>+B26*C26</f>
        <v>4.7309999999999998E-2</v>
      </c>
      <c r="E26" s="209">
        <f>+'Growth &amp; Inflation Rates'!$F$93</f>
        <v>4.1099999999999998E-2</v>
      </c>
      <c r="F26" s="210">
        <f>+D26+E26</f>
        <v>8.8409999999999989E-2</v>
      </c>
      <c r="G26" s="12"/>
      <c r="H26" s="12"/>
      <c r="I26" s="12"/>
      <c r="J26" s="12"/>
    </row>
    <row r="27" spans="1:10" ht="17.5">
      <c r="A27" s="208" t="s">
        <v>0</v>
      </c>
      <c r="B27" s="221" t="s">
        <v>0</v>
      </c>
      <c r="C27" s="219" t="s">
        <v>0</v>
      </c>
      <c r="D27" s="209" t="s">
        <v>0</v>
      </c>
      <c r="E27" s="209"/>
      <c r="F27" s="210" t="s">
        <v>0</v>
      </c>
      <c r="G27" s="12"/>
      <c r="H27" s="12"/>
      <c r="I27" s="12"/>
      <c r="J27" s="12"/>
    </row>
    <row r="28" spans="1:10" ht="17.5">
      <c r="A28" s="208" t="s">
        <v>222</v>
      </c>
      <c r="B28" s="221">
        <v>6.4500000000000002E-2</v>
      </c>
      <c r="C28" s="218">
        <f>+C16</f>
        <v>0.83</v>
      </c>
      <c r="D28" s="209">
        <f>+B28*C28</f>
        <v>5.3534999999999999E-2</v>
      </c>
      <c r="E28" s="209">
        <f>+'Growth &amp; Inflation Rates'!$F$93</f>
        <v>4.1099999999999998E-2</v>
      </c>
      <c r="F28" s="210">
        <f>+D28+E28</f>
        <v>9.4634999999999997E-2</v>
      </c>
      <c r="G28" s="12"/>
      <c r="H28" s="12"/>
      <c r="I28" s="12"/>
      <c r="J28" s="12"/>
    </row>
    <row r="29" spans="1:10" ht="17.5">
      <c r="A29" s="208" t="s">
        <v>223</v>
      </c>
      <c r="B29" s="221">
        <v>5.1900000000000002E-2</v>
      </c>
      <c r="C29" s="218">
        <f>+C16</f>
        <v>0.83</v>
      </c>
      <c r="D29" s="209">
        <f>+B29*C29</f>
        <v>4.3076999999999997E-2</v>
      </c>
      <c r="E29" s="209">
        <f>+'Growth &amp; Inflation Rates'!$F$93</f>
        <v>4.1099999999999998E-2</v>
      </c>
      <c r="F29" s="210">
        <f>+D29+E29</f>
        <v>8.4177000000000002E-2</v>
      </c>
      <c r="G29" s="12"/>
      <c r="H29" s="12"/>
      <c r="I29" s="12"/>
      <c r="J29" s="12"/>
    </row>
    <row r="30" spans="1:10" ht="17.5">
      <c r="A30" s="208"/>
      <c r="B30" s="221"/>
      <c r="C30" s="218"/>
      <c r="D30" s="209"/>
      <c r="E30" s="209"/>
      <c r="F30" s="210"/>
      <c r="G30" s="12"/>
      <c r="H30" s="12"/>
      <c r="I30" s="12"/>
      <c r="J30" s="12"/>
    </row>
    <row r="31" spans="1:10" ht="17.5">
      <c r="A31" s="208" t="s">
        <v>420</v>
      </c>
      <c r="B31" s="221">
        <v>7.17E-2</v>
      </c>
      <c r="C31" s="218">
        <f>+C16</f>
        <v>0.83</v>
      </c>
      <c r="D31" s="209">
        <f>+B31*C31</f>
        <v>5.9510999999999994E-2</v>
      </c>
      <c r="E31" s="209">
        <f>+'Growth &amp; Inflation Rates'!$F$93</f>
        <v>4.1099999999999998E-2</v>
      </c>
      <c r="F31" s="210">
        <f>+D31+E31</f>
        <v>0.10061099999999999</v>
      </c>
      <c r="G31" s="12"/>
      <c r="H31" s="12"/>
      <c r="I31" s="12"/>
      <c r="J31" s="12"/>
    </row>
    <row r="32" spans="1:10" ht="17.5">
      <c r="A32" s="208" t="s">
        <v>422</v>
      </c>
      <c r="B32" s="221">
        <v>6.2199999999999998E-2</v>
      </c>
      <c r="C32" s="218">
        <f>+C16</f>
        <v>0.83</v>
      </c>
      <c r="D32" s="209">
        <f>+B32*C32</f>
        <v>5.1625999999999998E-2</v>
      </c>
      <c r="E32" s="209">
        <f>+'Growth &amp; Inflation Rates'!$F$93</f>
        <v>4.1099999999999998E-2</v>
      </c>
      <c r="F32" s="210">
        <f>+D32+E32</f>
        <v>9.2726000000000003E-2</v>
      </c>
      <c r="G32" s="12"/>
      <c r="H32" s="12"/>
      <c r="I32" s="12"/>
      <c r="J32" s="12"/>
    </row>
    <row r="33" spans="1:10" ht="17.5">
      <c r="A33" s="208" t="s">
        <v>421</v>
      </c>
      <c r="B33" s="221">
        <v>5.5E-2</v>
      </c>
      <c r="C33" s="218">
        <f>+C17</f>
        <v>0.83</v>
      </c>
      <c r="D33" s="209">
        <f>+B33*C33</f>
        <v>4.5649999999999996E-2</v>
      </c>
      <c r="E33" s="209">
        <f>+'Growth &amp; Inflation Rates'!$F$93</f>
        <v>4.1099999999999998E-2</v>
      </c>
      <c r="F33" s="210">
        <f>+D33+E33</f>
        <v>8.6749999999999994E-2</v>
      </c>
      <c r="G33" s="12"/>
      <c r="H33" s="12"/>
      <c r="I33" s="12"/>
      <c r="J33" s="12"/>
    </row>
    <row r="34" spans="1:10" ht="17.5">
      <c r="A34" s="208"/>
      <c r="B34" s="221"/>
      <c r="C34" s="218"/>
      <c r="D34" s="209"/>
      <c r="E34" s="209"/>
      <c r="F34" s="210"/>
      <c r="G34" s="12"/>
      <c r="H34" s="12"/>
      <c r="I34" s="12"/>
      <c r="J34" s="12"/>
    </row>
    <row r="35" spans="1:10" ht="17.5">
      <c r="A35" s="208" t="s">
        <v>414</v>
      </c>
      <c r="B35" s="432">
        <v>0</v>
      </c>
      <c r="C35" s="433">
        <v>0</v>
      </c>
      <c r="D35" s="277">
        <f>+B35*C35</f>
        <v>0</v>
      </c>
      <c r="E35" s="277">
        <v>0</v>
      </c>
      <c r="F35" s="434">
        <f>+D35+E35</f>
        <v>0</v>
      </c>
      <c r="G35" s="12"/>
      <c r="H35" s="12"/>
      <c r="I35" s="12"/>
      <c r="J35" s="12"/>
    </row>
    <row r="36" spans="1:10" ht="17.5" thickBot="1">
      <c r="A36" s="395"/>
      <c r="B36" s="28"/>
      <c r="C36" s="28"/>
      <c r="D36" s="28"/>
      <c r="E36" s="28"/>
      <c r="F36" s="396"/>
      <c r="G36" s="12"/>
      <c r="H36" s="12"/>
      <c r="I36" s="12"/>
      <c r="J36" s="12"/>
    </row>
    <row r="37" spans="1:10" ht="17">
      <c r="A37" s="12"/>
      <c r="B37" s="12"/>
      <c r="C37" s="12"/>
      <c r="D37" s="12"/>
      <c r="E37" s="12"/>
      <c r="F37" s="12"/>
      <c r="G37" s="12"/>
      <c r="H37" s="12"/>
      <c r="I37" s="12"/>
      <c r="J37" s="12"/>
    </row>
    <row r="38" spans="1:10" ht="17.5" thickBot="1">
      <c r="A38" s="12"/>
      <c r="B38" s="12"/>
      <c r="C38" s="12"/>
      <c r="D38" s="12"/>
      <c r="E38" s="12"/>
      <c r="F38" s="12"/>
      <c r="G38" s="12" t="s">
        <v>0</v>
      </c>
      <c r="H38" s="12"/>
      <c r="I38" s="12"/>
      <c r="J38" s="12"/>
    </row>
    <row r="39" spans="1:10" ht="27" customHeight="1" thickBot="1">
      <c r="A39" s="167" t="s">
        <v>226</v>
      </c>
      <c r="B39" s="12"/>
      <c r="C39" s="12"/>
      <c r="D39" s="12"/>
      <c r="E39" s="12"/>
      <c r="F39" s="12"/>
      <c r="G39" s="12"/>
      <c r="H39" s="12"/>
      <c r="I39" s="12"/>
      <c r="J39" s="12"/>
    </row>
    <row r="40" spans="1:10" ht="44.25" customHeight="1" thickBot="1">
      <c r="A40" s="166" t="s">
        <v>224</v>
      </c>
      <c r="B40" s="165" t="s">
        <v>215</v>
      </c>
      <c r="C40" s="164" t="s">
        <v>228</v>
      </c>
      <c r="D40" s="165" t="s">
        <v>218</v>
      </c>
      <c r="E40" s="165" t="s">
        <v>219</v>
      </c>
      <c r="F40" s="165" t="s">
        <v>404</v>
      </c>
      <c r="G40" s="163" t="s">
        <v>216</v>
      </c>
      <c r="H40" s="12"/>
      <c r="I40" s="12"/>
      <c r="J40" s="12"/>
    </row>
    <row r="41" spans="1:10" ht="17">
      <c r="A41" s="160"/>
      <c r="B41" s="113"/>
      <c r="C41" s="113"/>
      <c r="D41" s="113"/>
      <c r="E41" s="113"/>
      <c r="F41" s="113"/>
      <c r="G41" s="161"/>
      <c r="H41" s="12"/>
      <c r="I41" s="12"/>
      <c r="J41" s="12"/>
    </row>
    <row r="42" spans="1:10" ht="17.5">
      <c r="A42" s="208" t="s">
        <v>406</v>
      </c>
      <c r="B42" s="221">
        <f>+B16</f>
        <v>2.9100000000000001E-2</v>
      </c>
      <c r="C42" s="217">
        <f>+C16</f>
        <v>0.83</v>
      </c>
      <c r="D42" s="209">
        <f>+B42*C42*0.75</f>
        <v>1.8114749999999999E-2</v>
      </c>
      <c r="E42" s="221">
        <f>+B42*0.25</f>
        <v>7.2750000000000002E-3</v>
      </c>
      <c r="F42" s="209">
        <f>+E16</f>
        <v>4.1099999999999998E-2</v>
      </c>
      <c r="G42" s="210">
        <f>+D42+E42+F42</f>
        <v>6.648975E-2</v>
      </c>
      <c r="H42" s="12"/>
      <c r="I42" s="12"/>
      <c r="J42" s="12"/>
    </row>
    <row r="43" spans="1:10" ht="17.5">
      <c r="A43" s="208" t="s">
        <v>407</v>
      </c>
      <c r="B43" s="221">
        <f>+B17</f>
        <v>3.0800000000000001E-2</v>
      </c>
      <c r="C43" s="217">
        <f>+C17</f>
        <v>0.83</v>
      </c>
      <c r="D43" s="209">
        <f>+B43*C43*0.75</f>
        <v>1.9172999999999999E-2</v>
      </c>
      <c r="E43" s="221">
        <f>+B43*0.25</f>
        <v>7.7000000000000002E-3</v>
      </c>
      <c r="F43" s="209">
        <f>+E17</f>
        <v>4.1099999999999998E-2</v>
      </c>
      <c r="G43" s="210">
        <f>+D43+E43+F43</f>
        <v>6.7973000000000006E-2</v>
      </c>
      <c r="H43" s="12"/>
      <c r="I43" s="12"/>
      <c r="J43" s="12"/>
    </row>
    <row r="44" spans="1:10" ht="17.5">
      <c r="A44" s="211"/>
      <c r="B44" s="107"/>
      <c r="C44" s="107"/>
      <c r="D44" s="107"/>
      <c r="E44" s="107"/>
      <c r="F44" s="107"/>
      <c r="G44" s="212"/>
      <c r="H44" s="12"/>
      <c r="I44" s="12"/>
      <c r="J44" s="12"/>
    </row>
    <row r="45" spans="1:10" ht="17.5">
      <c r="A45" s="208" t="str">
        <f t="shared" ref="A45:C46" si="0">+A19</f>
        <v>Damodaran Implied ERP Ex Ante   Trailing 12 mo Cash Yield (3)</v>
      </c>
      <c r="B45" s="221">
        <f t="shared" si="0"/>
        <v>4.5999999999999999E-2</v>
      </c>
      <c r="C45" s="217">
        <f t="shared" si="0"/>
        <v>0.83</v>
      </c>
      <c r="D45" s="209">
        <f>+B45*C45*0.75</f>
        <v>2.8635000000000001E-2</v>
      </c>
      <c r="E45" s="221">
        <f>+B45*0.25</f>
        <v>1.15E-2</v>
      </c>
      <c r="F45" s="209">
        <f>+E19</f>
        <v>4.1099999999999998E-2</v>
      </c>
      <c r="G45" s="210">
        <f>+D45+E45+F45</f>
        <v>8.1235000000000002E-2</v>
      </c>
      <c r="H45" s="12"/>
      <c r="I45" s="12"/>
      <c r="J45" s="12"/>
    </row>
    <row r="46" spans="1:10" ht="17.5">
      <c r="A46" s="208" t="str">
        <f>+A20</f>
        <v>Damodaran Implied ERP Ex Ante   Avg CF Yield Last 10 Yrs (3)</v>
      </c>
      <c r="B46" s="221">
        <f t="shared" si="0"/>
        <v>6.0699999999999997E-2</v>
      </c>
      <c r="C46" s="217">
        <f>+C19</f>
        <v>0.83</v>
      </c>
      <c r="D46" s="209">
        <f>+B46*C46*0.75</f>
        <v>3.7785749999999993E-2</v>
      </c>
      <c r="E46" s="221">
        <f>+B46*0.25</f>
        <v>1.5174999999999999E-2</v>
      </c>
      <c r="F46" s="209">
        <f>+E19</f>
        <v>4.1099999999999998E-2</v>
      </c>
      <c r="G46" s="210">
        <f>+D46+E46+F46</f>
        <v>9.4060749999999999E-2</v>
      </c>
      <c r="H46" s="12"/>
      <c r="I46" s="12"/>
      <c r="J46" s="12"/>
    </row>
    <row r="47" spans="1:10" ht="17.5">
      <c r="A47" s="208" t="str">
        <f t="shared" ref="A47:C48" si="1">+A21</f>
        <v>Damodaran Implied ERP Ex Ante   Net Cash Yield (3)</v>
      </c>
      <c r="B47" s="221">
        <f t="shared" si="1"/>
        <v>4.4299999999999999E-2</v>
      </c>
      <c r="C47" s="217">
        <f t="shared" si="1"/>
        <v>0.83</v>
      </c>
      <c r="D47" s="209">
        <f>+B47*C47*0.75</f>
        <v>2.7576749999999997E-2</v>
      </c>
      <c r="E47" s="221">
        <f>+B47*0.25</f>
        <v>1.1075E-2</v>
      </c>
      <c r="F47" s="209">
        <f>+E21</f>
        <v>4.1099999999999998E-2</v>
      </c>
      <c r="G47" s="210">
        <f>+D47+E47+F47</f>
        <v>7.9751749999999996E-2</v>
      </c>
      <c r="H47" s="12"/>
      <c r="I47" s="12"/>
      <c r="J47" s="12"/>
    </row>
    <row r="48" spans="1:10" ht="17.5">
      <c r="A48" s="208" t="str">
        <f t="shared" si="1"/>
        <v>Damodaran Implied ERP Ex Ante   Norm. Earnings &amp; Payout (3)</v>
      </c>
      <c r="B48" s="221">
        <f t="shared" si="1"/>
        <v>4.2900000000000001E-2</v>
      </c>
      <c r="C48" s="217">
        <f t="shared" si="1"/>
        <v>0.83</v>
      </c>
      <c r="D48" s="209">
        <f>+B48*C48*0.75</f>
        <v>2.670525E-2</v>
      </c>
      <c r="E48" s="221">
        <f>+B48*0.25</f>
        <v>1.0725E-2</v>
      </c>
      <c r="F48" s="209">
        <f>+E22</f>
        <v>4.1099999999999998E-2</v>
      </c>
      <c r="G48" s="210">
        <f>+D48+E48+F48</f>
        <v>7.8530249999999996E-2</v>
      </c>
      <c r="H48" s="12"/>
      <c r="I48" s="12"/>
      <c r="J48" s="12"/>
    </row>
    <row r="49" spans="1:10" ht="17.5">
      <c r="A49" s="208" t="s">
        <v>0</v>
      </c>
      <c r="B49" s="221" t="s">
        <v>0</v>
      </c>
      <c r="C49" s="209" t="s">
        <v>0</v>
      </c>
      <c r="D49" s="209" t="s">
        <v>0</v>
      </c>
      <c r="E49" s="221" t="s">
        <v>0</v>
      </c>
      <c r="F49" s="209" t="s">
        <v>0</v>
      </c>
      <c r="G49" s="210" t="s">
        <v>0</v>
      </c>
      <c r="H49" s="12"/>
      <c r="I49" s="12"/>
      <c r="J49" s="12"/>
    </row>
    <row r="50" spans="1:10" ht="17.5">
      <c r="A50" s="208" t="s">
        <v>220</v>
      </c>
      <c r="B50" s="221">
        <f>+B24</f>
        <v>4.9399999999999999E-2</v>
      </c>
      <c r="C50" s="217">
        <f>+C24</f>
        <v>0.83</v>
      </c>
      <c r="D50" s="209">
        <f>+B50*C50*0.75</f>
        <v>3.0751499999999998E-2</v>
      </c>
      <c r="E50" s="221">
        <f>+B50*0.25</f>
        <v>1.235E-2</v>
      </c>
      <c r="F50" s="209">
        <f>+E24</f>
        <v>4.1099999999999998E-2</v>
      </c>
      <c r="G50" s="210">
        <f>+D50+E50+F50</f>
        <v>8.4201499999999999E-2</v>
      </c>
      <c r="H50" s="12"/>
      <c r="I50" s="12"/>
      <c r="J50" s="12"/>
    </row>
    <row r="51" spans="1:10" ht="17.5">
      <c r="A51" s="208" t="s">
        <v>0</v>
      </c>
      <c r="B51" s="221" t="s">
        <v>0</v>
      </c>
      <c r="C51" s="209" t="s">
        <v>0</v>
      </c>
      <c r="D51" s="209" t="s">
        <v>0</v>
      </c>
      <c r="E51" s="221" t="s">
        <v>0</v>
      </c>
      <c r="F51" s="209" t="s">
        <v>0</v>
      </c>
      <c r="G51" s="210" t="s">
        <v>0</v>
      </c>
    </row>
    <row r="52" spans="1:10" ht="17.5">
      <c r="A52" s="208" t="s">
        <v>438</v>
      </c>
      <c r="B52" s="221">
        <f>+B26</f>
        <v>5.7000000000000002E-2</v>
      </c>
      <c r="C52" s="217">
        <f>+C26</f>
        <v>0.83</v>
      </c>
      <c r="D52" s="209">
        <f>+B52*C52*0.75</f>
        <v>3.54825E-2</v>
      </c>
      <c r="E52" s="221">
        <f>+B52*0.25</f>
        <v>1.4250000000000001E-2</v>
      </c>
      <c r="F52" s="209">
        <f>+E26</f>
        <v>4.1099999999999998E-2</v>
      </c>
      <c r="G52" s="210">
        <f>+D52+E52+F52</f>
        <v>9.0832499999999997E-2</v>
      </c>
    </row>
    <row r="53" spans="1:10" ht="17.5">
      <c r="A53" s="208" t="s">
        <v>0</v>
      </c>
      <c r="B53" s="221" t="s">
        <v>0</v>
      </c>
      <c r="C53" s="209" t="s">
        <v>0</v>
      </c>
      <c r="D53" s="209" t="s">
        <v>0</v>
      </c>
      <c r="E53" s="221" t="s">
        <v>0</v>
      </c>
      <c r="F53" s="209" t="s">
        <v>0</v>
      </c>
      <c r="G53" s="210" t="s">
        <v>0</v>
      </c>
    </row>
    <row r="54" spans="1:10" ht="17.5">
      <c r="A54" s="208" t="s">
        <v>222</v>
      </c>
      <c r="B54" s="221">
        <f>+B28</f>
        <v>6.4500000000000002E-2</v>
      </c>
      <c r="C54" s="217">
        <f>+C28</f>
        <v>0.83</v>
      </c>
      <c r="D54" s="209">
        <f>+B54*C54*0.75</f>
        <v>4.0151249999999999E-2</v>
      </c>
      <c r="E54" s="221">
        <f>+B54*0.25</f>
        <v>1.6125E-2</v>
      </c>
      <c r="F54" s="209">
        <f>+E28</f>
        <v>4.1099999999999998E-2</v>
      </c>
      <c r="G54" s="210">
        <f>+D54+E54+F54</f>
        <v>9.7376249999999998E-2</v>
      </c>
    </row>
    <row r="55" spans="1:10" ht="17.5">
      <c r="A55" s="208" t="s">
        <v>223</v>
      </c>
      <c r="B55" s="221">
        <f>+B29</f>
        <v>5.1900000000000002E-2</v>
      </c>
      <c r="C55" s="217">
        <f>+C29</f>
        <v>0.83</v>
      </c>
      <c r="D55" s="209">
        <f>+B55*C55*0.75</f>
        <v>3.2307749999999996E-2</v>
      </c>
      <c r="E55" s="221">
        <f>+B55*0.25</f>
        <v>1.2975E-2</v>
      </c>
      <c r="F55" s="209">
        <f>+E29</f>
        <v>4.1099999999999998E-2</v>
      </c>
      <c r="G55" s="210">
        <f>+D55+E55+F55</f>
        <v>8.6382749999999994E-2</v>
      </c>
    </row>
    <row r="56" spans="1:10" ht="17.5">
      <c r="A56" s="208"/>
      <c r="B56" s="221"/>
      <c r="C56" s="217"/>
      <c r="D56" s="209"/>
      <c r="E56" s="221"/>
      <c r="F56" s="209"/>
      <c r="G56" s="210"/>
    </row>
    <row r="57" spans="1:10" ht="17.5">
      <c r="A57" s="208" t="str">
        <f t="shared" ref="A57:C59" si="2">+A31</f>
        <v>KROLL Ex Post  - ERP Historical (8)</v>
      </c>
      <c r="B57" s="221">
        <f t="shared" si="2"/>
        <v>7.17E-2</v>
      </c>
      <c r="C57" s="217">
        <f t="shared" si="2"/>
        <v>0.83</v>
      </c>
      <c r="D57" s="209">
        <f>+B57*C57*0.75</f>
        <v>4.4633249999999999E-2</v>
      </c>
      <c r="E57" s="221">
        <f>+B57*0.25</f>
        <v>1.7925E-2</v>
      </c>
      <c r="F57" s="209">
        <f>+E31</f>
        <v>4.1099999999999998E-2</v>
      </c>
      <c r="G57" s="210">
        <f>+D57+E57+F57</f>
        <v>0.10365824999999999</v>
      </c>
    </row>
    <row r="58" spans="1:10" ht="17.5">
      <c r="A58" s="208" t="str">
        <f t="shared" si="2"/>
        <v>KROLL Ex Post - ERP Supply Side (8)</v>
      </c>
      <c r="B58" s="221">
        <f t="shared" si="2"/>
        <v>6.2199999999999998E-2</v>
      </c>
      <c r="C58" s="217">
        <f t="shared" si="2"/>
        <v>0.83</v>
      </c>
      <c r="D58" s="209">
        <f>+B58*C58*0.75</f>
        <v>3.8719499999999997E-2</v>
      </c>
      <c r="E58" s="221">
        <f>+B58*0.25</f>
        <v>1.555E-2</v>
      </c>
      <c r="F58" s="209">
        <f>+E32</f>
        <v>4.1099999999999998E-2</v>
      </c>
      <c r="G58" s="210">
        <f>+D58+E58+F58</f>
        <v>9.5369499999999996E-2</v>
      </c>
    </row>
    <row r="59" spans="1:10" ht="17.5">
      <c r="A59" s="208" t="str">
        <f t="shared" si="2"/>
        <v>KROLL Ex Ante - ERP Conditional (8)</v>
      </c>
      <c r="B59" s="221">
        <f t="shared" si="2"/>
        <v>5.5E-2</v>
      </c>
      <c r="C59" s="217">
        <f t="shared" si="2"/>
        <v>0.83</v>
      </c>
      <c r="D59" s="209">
        <f>+B59*C59*0.75</f>
        <v>3.4237499999999997E-2</v>
      </c>
      <c r="E59" s="221">
        <f>+B59*0.25</f>
        <v>1.375E-2</v>
      </c>
      <c r="F59" s="209">
        <f>+E33</f>
        <v>4.1099999999999998E-2</v>
      </c>
      <c r="G59" s="210">
        <f>+D59+E59+F59</f>
        <v>8.9087499999999986E-2</v>
      </c>
    </row>
    <row r="60" spans="1:10" ht="17.5">
      <c r="A60" s="208"/>
      <c r="B60" s="221"/>
      <c r="C60" s="217"/>
      <c r="D60" s="209"/>
      <c r="E60" s="221"/>
      <c r="F60" s="209"/>
      <c r="G60" s="210"/>
    </row>
    <row r="61" spans="1:10" ht="17.5">
      <c r="A61" s="208" t="str">
        <f>+A35</f>
        <v>S&amp;P Global Market Intelligence (9)</v>
      </c>
      <c r="B61" s="221">
        <f>+B35</f>
        <v>0</v>
      </c>
      <c r="C61" s="217">
        <f>+C35</f>
        <v>0</v>
      </c>
      <c r="D61" s="209">
        <f>+B61*C61*0.75</f>
        <v>0</v>
      </c>
      <c r="E61" s="221">
        <f>+B61*0.25</f>
        <v>0</v>
      </c>
      <c r="F61" s="209">
        <f>+E35</f>
        <v>0</v>
      </c>
      <c r="G61" s="210">
        <f>+D61+E61+F61</f>
        <v>0</v>
      </c>
    </row>
    <row r="62" spans="1:10" ht="15" thickBot="1">
      <c r="A62" s="313"/>
      <c r="B62" s="158"/>
      <c r="C62" s="158"/>
      <c r="D62" s="158"/>
      <c r="E62" s="158"/>
      <c r="F62" s="158"/>
      <c r="G62" s="314"/>
    </row>
    <row r="64" spans="1:10" ht="17.5">
      <c r="A64" s="62" t="s">
        <v>71</v>
      </c>
      <c r="E64" s="220" t="s">
        <v>0</v>
      </c>
    </row>
    <row r="65" spans="1:7" ht="17">
      <c r="A65" s="43" t="s">
        <v>0</v>
      </c>
      <c r="E65" s="220" t="s">
        <v>0</v>
      </c>
    </row>
    <row r="66" spans="1:7" ht="17">
      <c r="A66" s="43" t="s">
        <v>415</v>
      </c>
      <c r="B66" s="12"/>
      <c r="C66" s="12"/>
      <c r="D66" s="12"/>
      <c r="E66" s="12"/>
      <c r="F66" s="12"/>
      <c r="G66" s="12"/>
    </row>
    <row r="67" spans="1:7" ht="17">
      <c r="A67" s="43" t="s">
        <v>0</v>
      </c>
      <c r="B67" s="12"/>
      <c r="C67" s="12"/>
      <c r="D67" s="12"/>
      <c r="E67" s="12"/>
      <c r="F67" s="12"/>
      <c r="G67" s="12"/>
    </row>
    <row r="68" spans="1:7" ht="17">
      <c r="A68" s="43" t="s">
        <v>487</v>
      </c>
      <c r="B68" s="12"/>
      <c r="C68" s="12"/>
      <c r="D68" s="12"/>
      <c r="E68" s="12"/>
      <c r="F68" s="12"/>
      <c r="G68" s="12"/>
    </row>
    <row r="69" spans="1:7" ht="17">
      <c r="A69" s="431" t="s">
        <v>416</v>
      </c>
      <c r="C69" s="12"/>
      <c r="D69" s="12"/>
      <c r="E69" s="12"/>
      <c r="F69" s="12"/>
      <c r="G69" s="12"/>
    </row>
    <row r="70" spans="1:7" ht="17">
      <c r="A70" s="43" t="s">
        <v>0</v>
      </c>
      <c r="B70" s="12"/>
      <c r="C70" s="12"/>
      <c r="D70" s="12"/>
      <c r="E70" s="12"/>
      <c r="F70" s="12"/>
      <c r="G70" s="12"/>
    </row>
    <row r="71" spans="1:7" ht="17">
      <c r="A71" s="43" t="s">
        <v>489</v>
      </c>
      <c r="B71" s="12"/>
      <c r="C71" s="12"/>
      <c r="D71" s="12"/>
      <c r="E71" s="12"/>
      <c r="F71" s="12"/>
      <c r="G71" s="12"/>
    </row>
    <row r="72" spans="1:7" ht="17">
      <c r="A72" s="431" t="s">
        <v>417</v>
      </c>
      <c r="B72" s="12"/>
      <c r="C72" s="12"/>
      <c r="D72" s="12"/>
      <c r="E72" s="12"/>
      <c r="F72" s="12"/>
      <c r="G72" s="12"/>
    </row>
    <row r="73" spans="1:7" ht="17">
      <c r="A73" s="43"/>
      <c r="B73" s="12"/>
      <c r="C73" s="12"/>
      <c r="D73" s="12"/>
      <c r="E73" s="12"/>
      <c r="F73" s="12"/>
      <c r="G73" s="12"/>
    </row>
    <row r="74" spans="1:7" ht="17">
      <c r="A74" s="43" t="s">
        <v>488</v>
      </c>
      <c r="B74" s="12"/>
      <c r="C74" s="12"/>
      <c r="D74" s="12"/>
      <c r="E74" s="12"/>
      <c r="F74" s="12"/>
      <c r="G74" s="12"/>
    </row>
    <row r="75" spans="1:7" ht="17">
      <c r="A75" s="431" t="s">
        <v>490</v>
      </c>
      <c r="B75" s="12"/>
      <c r="C75" s="12"/>
      <c r="D75" s="12"/>
      <c r="E75" s="12"/>
      <c r="F75" s="12"/>
      <c r="G75" s="12"/>
    </row>
    <row r="76" spans="1:7" ht="17">
      <c r="A76" s="43"/>
      <c r="B76" s="12"/>
      <c r="C76" s="12"/>
      <c r="D76" s="12"/>
      <c r="E76" s="12"/>
      <c r="F76" s="12"/>
      <c r="G76" s="12"/>
    </row>
    <row r="77" spans="1:7" ht="17">
      <c r="A77" s="43" t="s">
        <v>484</v>
      </c>
      <c r="B77" s="12"/>
      <c r="C77" s="12"/>
      <c r="D77" s="12"/>
      <c r="E77" s="12"/>
      <c r="F77" s="12"/>
      <c r="G77" s="12"/>
    </row>
    <row r="78" spans="1:7" ht="17">
      <c r="A78" s="431" t="s">
        <v>418</v>
      </c>
      <c r="B78" s="12"/>
      <c r="C78" s="12"/>
      <c r="D78" s="12"/>
      <c r="E78" s="12"/>
      <c r="F78" s="12"/>
      <c r="G78" s="12"/>
    </row>
    <row r="79" spans="1:7" ht="17">
      <c r="A79" s="43"/>
    </row>
    <row r="80" spans="1:7" ht="17">
      <c r="A80" s="43" t="s">
        <v>485</v>
      </c>
    </row>
    <row r="81" spans="1:7" ht="17">
      <c r="A81" s="43" t="s">
        <v>0</v>
      </c>
    </row>
    <row r="82" spans="1:7" ht="17">
      <c r="A82" s="43" t="s">
        <v>486</v>
      </c>
    </row>
    <row r="83" spans="1:7" ht="17">
      <c r="A83" s="431" t="s">
        <v>419</v>
      </c>
    </row>
    <row r="84" spans="1:7" ht="21.5" thickBot="1">
      <c r="A84" s="159"/>
      <c r="B84" s="159"/>
      <c r="C84" s="159"/>
      <c r="D84" s="28"/>
      <c r="E84" s="36"/>
      <c r="F84" s="28"/>
      <c r="G84" s="158"/>
    </row>
  </sheetData>
  <hyperlinks>
    <hyperlink ref="A83" r:id="rId1" xr:uid="{AA4D2BF9-A916-47B7-B3E9-4D6B59480BF8}"/>
    <hyperlink ref="A78" r:id="rId2" xr:uid="{D1024A16-36E3-40F1-95A7-A300E1FC9026}"/>
    <hyperlink ref="A69" r:id="rId3" xr:uid="{8C294685-4CAD-4DA1-8550-033AB4C12B89}"/>
    <hyperlink ref="A72" r:id="rId4" xr:uid="{16BDBB5E-9644-4381-8D7C-8113385E6D16}"/>
    <hyperlink ref="A75" r:id="rId5" xr:uid="{2E4521F4-CC07-4FFD-B901-2865E48603EE}"/>
  </hyperlinks>
  <pageMargins left="0.25" right="0.25" top="0.75" bottom="0.75" header="0.3" footer="0.3"/>
  <pageSetup scale="39" orientation="portrait" r:id="rId6"/>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EEAA8-BBA3-479C-8851-708BD7E9A4CD}">
  <sheetPr>
    <tabColor rgb="FF92D050"/>
  </sheetPr>
  <dimension ref="A1:K44"/>
  <sheetViews>
    <sheetView view="pageBreakPreview" topLeftCell="A5" zoomScale="70" zoomScaleNormal="80" zoomScaleSheetLayoutView="70" workbookViewId="0">
      <selection activeCell="H39" sqref="H39"/>
    </sheetView>
  </sheetViews>
  <sheetFormatPr defaultRowHeight="14.5"/>
  <cols>
    <col min="1" max="1" width="45.1796875" customWidth="1"/>
    <col min="2" max="2" width="14.7265625" customWidth="1"/>
    <col min="3" max="3" width="19.1796875" bestFit="1" customWidth="1"/>
    <col min="4" max="4" width="15.26953125" customWidth="1"/>
    <col min="5" max="5" width="27.1796875" customWidth="1"/>
    <col min="6" max="6" width="22" customWidth="1"/>
    <col min="7" max="7" width="29.26953125" customWidth="1"/>
    <col min="8" max="8" width="37" customWidth="1"/>
    <col min="9" max="9" width="24.54296875" customWidth="1"/>
    <col min="10" max="10" width="24.1796875" customWidth="1"/>
    <col min="12" max="12" width="10.54296875" customWidth="1"/>
  </cols>
  <sheetData>
    <row r="1" spans="1:11" ht="25.5">
      <c r="A1" s="23" t="s">
        <v>1</v>
      </c>
      <c r="B1" s="12"/>
      <c r="C1" s="12"/>
      <c r="D1" s="12"/>
      <c r="E1" s="12"/>
      <c r="F1" s="12"/>
      <c r="G1" s="12"/>
      <c r="H1" s="12"/>
      <c r="I1" s="12"/>
      <c r="J1" s="12"/>
      <c r="K1" s="12"/>
    </row>
    <row r="2" spans="1:11" ht="17.5">
      <c r="A2" s="24" t="s">
        <v>9</v>
      </c>
      <c r="B2" s="12"/>
      <c r="C2" s="12"/>
      <c r="D2" s="12"/>
      <c r="E2" s="12"/>
      <c r="F2" s="12"/>
      <c r="G2" s="12"/>
      <c r="H2" s="12"/>
      <c r="I2" s="12"/>
      <c r="J2" s="12"/>
      <c r="K2" s="12"/>
    </row>
    <row r="3" spans="1:11" ht="17">
      <c r="A3" s="25" t="s">
        <v>452</v>
      </c>
      <c r="B3" s="12"/>
      <c r="C3" s="12"/>
      <c r="D3" s="12"/>
      <c r="E3" s="12"/>
      <c r="F3" s="12"/>
      <c r="G3" s="12"/>
      <c r="H3" s="12"/>
      <c r="I3" s="12"/>
      <c r="J3" s="12"/>
      <c r="K3" s="12"/>
    </row>
    <row r="4" spans="1:11" ht="17">
      <c r="A4" s="25"/>
      <c r="B4" s="12"/>
      <c r="C4" s="12"/>
      <c r="D4" s="12"/>
      <c r="E4" s="12"/>
      <c r="F4" s="12"/>
      <c r="G4" s="12"/>
      <c r="H4" s="12"/>
      <c r="I4" s="12"/>
      <c r="J4" s="12"/>
      <c r="K4" s="12"/>
    </row>
    <row r="5" spans="1:11" ht="17.5" thickBot="1">
      <c r="A5" s="12"/>
      <c r="B5" s="12"/>
      <c r="C5" s="12"/>
      <c r="D5" s="12"/>
      <c r="E5" s="12"/>
      <c r="F5" s="12" t="s">
        <v>0</v>
      </c>
      <c r="G5" s="12"/>
      <c r="H5" s="26"/>
      <c r="I5" s="12"/>
      <c r="J5" s="12"/>
      <c r="K5" s="12"/>
    </row>
    <row r="6" spans="1:11" ht="18" thickBot="1">
      <c r="A6" s="282" t="str">
        <f>+'S&amp;D'!A12</f>
        <v>Water Utility Companies (Private)</v>
      </c>
      <c r="B6" s="207"/>
      <c r="C6" s="395"/>
      <c r="D6" s="28"/>
      <c r="E6" s="28"/>
      <c r="F6" s="28"/>
      <c r="G6" s="29" t="s">
        <v>0</v>
      </c>
      <c r="H6" s="28"/>
      <c r="I6" s="12"/>
      <c r="J6" s="12"/>
      <c r="K6" s="12"/>
    </row>
    <row r="7" spans="1:11" ht="25.5">
      <c r="A7" s="30"/>
      <c r="B7" s="12"/>
      <c r="C7" s="12"/>
      <c r="D7" s="12"/>
      <c r="E7" s="12"/>
      <c r="F7" s="31" t="s">
        <v>405</v>
      </c>
      <c r="G7" s="12"/>
      <c r="H7" s="12"/>
      <c r="I7" s="12"/>
      <c r="J7" s="12"/>
      <c r="K7" s="12"/>
    </row>
    <row r="8" spans="1:11" ht="21.5" thickBot="1">
      <c r="A8" s="30"/>
      <c r="B8" s="12"/>
      <c r="C8" s="28"/>
      <c r="D8" s="28"/>
      <c r="E8" s="28"/>
      <c r="F8" s="32" t="s">
        <v>453</v>
      </c>
      <c r="G8" s="28"/>
      <c r="H8" s="28"/>
      <c r="I8" s="12"/>
      <c r="J8" s="12"/>
      <c r="K8" s="12"/>
    </row>
    <row r="9" spans="1:11" ht="17.5" thickBot="1">
      <c r="A9" s="33" t="s">
        <v>0</v>
      </c>
      <c r="B9" s="33" t="s">
        <v>0</v>
      </c>
      <c r="C9" s="33" t="s">
        <v>0</v>
      </c>
      <c r="D9" s="28"/>
      <c r="E9" s="33"/>
      <c r="F9" s="33" t="s">
        <v>0</v>
      </c>
      <c r="G9" s="33"/>
      <c r="H9" s="28"/>
      <c r="I9" s="28"/>
      <c r="J9" s="28"/>
      <c r="K9" s="12"/>
    </row>
    <row r="10" spans="1:11" ht="17">
      <c r="A10" s="34" t="s">
        <v>0</v>
      </c>
      <c r="B10" s="34" t="s">
        <v>3</v>
      </c>
      <c r="C10" s="34" t="s">
        <v>5</v>
      </c>
      <c r="D10" s="34" t="s">
        <v>166</v>
      </c>
      <c r="E10" s="34" t="s">
        <v>12</v>
      </c>
      <c r="F10" s="34" t="s">
        <v>177</v>
      </c>
      <c r="G10" s="34" t="s">
        <v>178</v>
      </c>
      <c r="H10" s="34" t="s">
        <v>178</v>
      </c>
      <c r="I10" s="34" t="s">
        <v>174</v>
      </c>
      <c r="J10" s="34" t="s">
        <v>174</v>
      </c>
      <c r="K10" s="12"/>
    </row>
    <row r="11" spans="1:11" ht="17">
      <c r="A11" s="34" t="s">
        <v>2</v>
      </c>
      <c r="B11" s="34" t="s">
        <v>4</v>
      </c>
      <c r="C11" s="34" t="s">
        <v>6</v>
      </c>
      <c r="D11" s="34" t="s">
        <v>206</v>
      </c>
      <c r="E11" s="34" t="s">
        <v>14</v>
      </c>
      <c r="F11" s="34" t="s">
        <v>402</v>
      </c>
      <c r="G11" s="34" t="s">
        <v>207</v>
      </c>
      <c r="H11" s="34" t="s">
        <v>208</v>
      </c>
      <c r="I11" s="34" t="s">
        <v>169</v>
      </c>
      <c r="J11" s="34" t="s">
        <v>172</v>
      </c>
      <c r="K11" s="12"/>
    </row>
    <row r="12" spans="1:11" ht="17">
      <c r="A12" s="34"/>
      <c r="B12" s="34"/>
      <c r="C12" s="34"/>
      <c r="D12" s="34"/>
      <c r="E12" s="34"/>
      <c r="F12" s="35" t="s">
        <v>0</v>
      </c>
      <c r="G12" s="35" t="s">
        <v>455</v>
      </c>
      <c r="H12" s="35" t="s">
        <v>455</v>
      </c>
      <c r="I12" s="34"/>
      <c r="J12" s="34"/>
      <c r="K12" s="12"/>
    </row>
    <row r="13" spans="1:11" ht="17.5" thickBot="1">
      <c r="A13" s="36" t="s">
        <v>24</v>
      </c>
      <c r="B13" s="37" t="s">
        <v>88</v>
      </c>
      <c r="C13" s="37" t="s">
        <v>89</v>
      </c>
      <c r="D13" s="37" t="s">
        <v>90</v>
      </c>
      <c r="E13" s="37" t="s">
        <v>91</v>
      </c>
      <c r="F13" s="37" t="s">
        <v>92</v>
      </c>
      <c r="G13" s="37" t="s">
        <v>93</v>
      </c>
      <c r="H13" s="37" t="s">
        <v>94</v>
      </c>
      <c r="I13" s="37" t="s">
        <v>175</v>
      </c>
      <c r="J13" s="37" t="s">
        <v>176</v>
      </c>
      <c r="K13" s="12"/>
    </row>
    <row r="14" spans="1:11" ht="17">
      <c r="A14" s="38" t="s">
        <v>7</v>
      </c>
      <c r="B14" s="38" t="s">
        <v>7</v>
      </c>
      <c r="C14" s="38" t="s">
        <v>7</v>
      </c>
      <c r="D14" s="39" t="s">
        <v>112</v>
      </c>
      <c r="E14" s="39"/>
      <c r="F14" s="38" t="s">
        <v>0</v>
      </c>
      <c r="G14" s="38" t="s">
        <v>7</v>
      </c>
      <c r="H14" s="38" t="s">
        <v>7</v>
      </c>
      <c r="I14" s="38" t="s">
        <v>15</v>
      </c>
      <c r="J14" s="38" t="s">
        <v>15</v>
      </c>
      <c r="K14" s="12"/>
    </row>
    <row r="15" spans="1:11" ht="17">
      <c r="A15" s="34"/>
      <c r="B15" s="34"/>
      <c r="C15" s="34"/>
      <c r="D15" s="34"/>
      <c r="E15" s="34"/>
      <c r="F15" s="34"/>
      <c r="G15" s="34"/>
      <c r="H15" s="12"/>
      <c r="I15" s="12"/>
      <c r="J15" s="12"/>
      <c r="K15" s="12"/>
    </row>
    <row r="16" spans="1:11" ht="17">
      <c r="A16" s="12"/>
      <c r="B16" s="12"/>
      <c r="C16" s="12"/>
      <c r="D16" s="12"/>
      <c r="E16" s="12"/>
      <c r="F16" s="12"/>
      <c r="G16" s="12"/>
      <c r="H16" s="12"/>
      <c r="I16" s="12"/>
      <c r="J16" s="12"/>
      <c r="K16" s="12"/>
    </row>
    <row r="17" spans="1:11" ht="17.5">
      <c r="A17" s="62" t="str">
        <f>+'S&amp;D'!A22</f>
        <v>American States Water Company</v>
      </c>
      <c r="B17" s="91" t="str">
        <f>+'S&amp;D'!B22</f>
        <v>AWR</v>
      </c>
      <c r="C17" s="91" t="str">
        <f>+'S&amp;D'!C22</f>
        <v>Water Utility</v>
      </c>
      <c r="D17" s="59">
        <f>+'S&amp;D'!G22</f>
        <v>80.42</v>
      </c>
      <c r="E17" s="60">
        <f>+'S&amp;D'!D37</f>
        <v>2973980817.04</v>
      </c>
      <c r="F17" s="53">
        <f>+'Dividends '!H16</f>
        <v>2.2382491917433474E-2</v>
      </c>
      <c r="G17" s="53">
        <v>8.5000000000000006E-2</v>
      </c>
      <c r="H17" s="53">
        <v>6.5000000000000002E-2</v>
      </c>
      <c r="I17" s="352">
        <f>+F17+G17</f>
        <v>0.10738249191743349</v>
      </c>
      <c r="J17" s="352">
        <f>+F17+H17</f>
        <v>8.7382491917433469E-2</v>
      </c>
      <c r="K17" s="12"/>
    </row>
    <row r="18" spans="1:11" ht="17.5">
      <c r="A18" s="62" t="str">
        <f>+'S&amp;D'!A23</f>
        <v>American Water Works Company Inc</v>
      </c>
      <c r="B18" s="91" t="str">
        <f>+'S&amp;D'!B23</f>
        <v>AWK</v>
      </c>
      <c r="C18" s="91" t="str">
        <f>+'S&amp;D'!C23</f>
        <v>Water Utility</v>
      </c>
      <c r="D18" s="59">
        <f>+'S&amp;D'!G23</f>
        <v>131.99</v>
      </c>
      <c r="E18" s="60">
        <f>+'S&amp;D'!D38</f>
        <v>25702426030.990002</v>
      </c>
      <c r="F18" s="53">
        <f>+'Dividends '!H17</f>
        <v>2.2728994620804605E-2</v>
      </c>
      <c r="G18" s="53">
        <v>8.5000000000000006E-2</v>
      </c>
      <c r="H18" s="53">
        <v>0.03</v>
      </c>
      <c r="I18" s="352">
        <f t="shared" ref="I18:I22" si="0">+F18+G18</f>
        <v>0.10772899462080461</v>
      </c>
      <c r="J18" s="352">
        <f t="shared" ref="J18:J22" si="1">+F18+H18</f>
        <v>5.2728994620804603E-2</v>
      </c>
      <c r="K18" s="12"/>
    </row>
    <row r="19" spans="1:11" ht="17.5">
      <c r="A19" s="62" t="str">
        <f>+'S&amp;D'!A24</f>
        <v xml:space="preserve">California Water Service Group </v>
      </c>
      <c r="B19" s="91" t="str">
        <f>+'S&amp;D'!B24</f>
        <v>CWT</v>
      </c>
      <c r="C19" s="91" t="str">
        <f>+'S&amp;D'!C24</f>
        <v>Water Utility</v>
      </c>
      <c r="D19" s="59">
        <f>+'S&amp;D'!G24</f>
        <v>51.87</v>
      </c>
      <c r="E19" s="60">
        <f>+'S&amp;D'!D39</f>
        <v>2994143880</v>
      </c>
      <c r="F19" s="53">
        <f>+'Dividends '!H18</f>
        <v>2.1592442645074227E-2</v>
      </c>
      <c r="G19" s="53">
        <v>6.5000000000000002E-2</v>
      </c>
      <c r="H19" s="53">
        <v>6.5000000000000002E-2</v>
      </c>
      <c r="I19" s="352">
        <f t="shared" si="0"/>
        <v>8.6592442645074236E-2</v>
      </c>
      <c r="J19" s="352">
        <f t="shared" si="1"/>
        <v>8.6592442645074236E-2</v>
      </c>
      <c r="K19" s="12"/>
    </row>
    <row r="20" spans="1:11" ht="17.5">
      <c r="A20" s="62" t="str">
        <f>+'S&amp;D'!A25</f>
        <v>Essential Utilities, Inc.</v>
      </c>
      <c r="B20" s="91" t="str">
        <f>+'S&amp;D'!B25</f>
        <v>WTRG</v>
      </c>
      <c r="C20" s="91" t="str">
        <f>+'S&amp;D'!C25</f>
        <v>Water Utility</v>
      </c>
      <c r="D20" s="59">
        <f>+'S&amp;D'!G25</f>
        <v>37.35</v>
      </c>
      <c r="E20" s="60">
        <f>+'S&amp;D'!D40</f>
        <v>10207606981.950001</v>
      </c>
      <c r="F20" s="53">
        <f>+'Dividends '!H19</f>
        <v>3.4002677376171353E-2</v>
      </c>
      <c r="G20" s="53">
        <v>0.08</v>
      </c>
      <c r="H20" s="53">
        <v>7.4999999999999997E-2</v>
      </c>
      <c r="I20" s="352">
        <f t="shared" si="0"/>
        <v>0.11400267737617135</v>
      </c>
      <c r="J20" s="352">
        <f t="shared" si="1"/>
        <v>0.10900267737617135</v>
      </c>
      <c r="K20" s="12"/>
    </row>
    <row r="21" spans="1:11" ht="17.5">
      <c r="A21" s="62" t="str">
        <f>+'S&amp;D'!A26</f>
        <v>Middlesex Water Company</v>
      </c>
      <c r="B21" s="91" t="str">
        <f>+'S&amp;D'!B26</f>
        <v>MSEX</v>
      </c>
      <c r="C21" s="91" t="str">
        <f>+'S&amp;D'!C26</f>
        <v>Water Utility</v>
      </c>
      <c r="D21" s="59">
        <f>+'S&amp;D'!G26</f>
        <v>65.62</v>
      </c>
      <c r="E21" s="60">
        <f>+'S&amp;D'!D41</f>
        <v>1169414020</v>
      </c>
      <c r="F21" s="53">
        <f>+'Dividends '!H20</f>
        <v>2.0115818348064612E-2</v>
      </c>
      <c r="G21" s="53">
        <v>6.5000000000000002E-2</v>
      </c>
      <c r="H21" s="53">
        <v>0.05</v>
      </c>
      <c r="I21" s="352">
        <f>+F21+G21</f>
        <v>8.5115818348064615E-2</v>
      </c>
      <c r="J21" s="352">
        <f>+F21+H21</f>
        <v>7.0115818348064615E-2</v>
      </c>
      <c r="K21" s="12"/>
    </row>
    <row r="22" spans="1:11" ht="18" thickBot="1">
      <c r="A22" s="62" t="str">
        <f>+'S&amp;D'!A27</f>
        <v>SJW Corporation</v>
      </c>
      <c r="B22" s="91" t="str">
        <f>+'S&amp;D'!B27</f>
        <v>SJW</v>
      </c>
      <c r="C22" s="91" t="str">
        <f>+'S&amp;D'!C27</f>
        <v>Water Utility</v>
      </c>
      <c r="D22" s="59">
        <f>+'S&amp;D'!G27</f>
        <v>65.650000000000006</v>
      </c>
      <c r="E22" s="60">
        <f>+'S&amp;D'!D42</f>
        <v>2102310212.6000001</v>
      </c>
      <c r="F22" s="353">
        <f>+'Dividends '!H21</f>
        <v>2.4371667936024372E-2</v>
      </c>
      <c r="G22" s="353">
        <v>0.05</v>
      </c>
      <c r="H22" s="353">
        <v>0.08</v>
      </c>
      <c r="I22" s="354">
        <f t="shared" si="0"/>
        <v>7.4371667936024372E-2</v>
      </c>
      <c r="J22" s="354">
        <f t="shared" si="1"/>
        <v>0.10437166793602437</v>
      </c>
      <c r="K22" s="12"/>
    </row>
    <row r="23" spans="1:11" ht="17.5" thickTop="1">
      <c r="A23" s="12"/>
      <c r="B23" s="12"/>
      <c r="C23" s="14" t="s">
        <v>0</v>
      </c>
      <c r="D23" s="15" t="s">
        <v>0</v>
      </c>
      <c r="E23" s="15" t="s">
        <v>45</v>
      </c>
      <c r="F23" s="418">
        <f>MAX(F17:F22)</f>
        <v>3.4002677376171353E-2</v>
      </c>
      <c r="G23" s="418">
        <f t="shared" ref="G23:J23" si="2">MAX(G17:G22)</f>
        <v>8.5000000000000006E-2</v>
      </c>
      <c r="H23" s="418">
        <f t="shared" si="2"/>
        <v>0.08</v>
      </c>
      <c r="I23" s="418">
        <f t="shared" si="2"/>
        <v>0.11400267737617135</v>
      </c>
      <c r="J23" s="418">
        <f t="shared" si="2"/>
        <v>0.10900267737617135</v>
      </c>
      <c r="K23" s="12"/>
    </row>
    <row r="24" spans="1:11" ht="17">
      <c r="A24" s="12"/>
      <c r="B24" s="12"/>
      <c r="C24" s="14"/>
      <c r="D24" s="15"/>
      <c r="E24" s="15" t="s">
        <v>46</v>
      </c>
      <c r="F24" s="417">
        <f>MIN(F17:F22)</f>
        <v>2.0115818348064612E-2</v>
      </c>
      <c r="G24" s="417">
        <f t="shared" ref="G24:J24" si="3">MIN(G17:G22)</f>
        <v>0.05</v>
      </c>
      <c r="H24" s="417">
        <f t="shared" si="3"/>
        <v>0.03</v>
      </c>
      <c r="I24" s="417">
        <f t="shared" si="3"/>
        <v>7.4371667936024372E-2</v>
      </c>
      <c r="J24" s="417">
        <f t="shared" si="3"/>
        <v>5.2728994620804603E-2</v>
      </c>
      <c r="K24" s="12"/>
    </row>
    <row r="25" spans="1:11" ht="17">
      <c r="A25" s="12"/>
      <c r="B25" s="12"/>
      <c r="D25" s="17" t="s">
        <v>0</v>
      </c>
      <c r="E25" s="14" t="s">
        <v>18</v>
      </c>
      <c r="F25" s="54">
        <f>MEDIAN(F17:F22)</f>
        <v>2.2555743269119039E-2</v>
      </c>
      <c r="G25" s="344">
        <f>MEDIAN(G17:G22)</f>
        <v>7.2500000000000009E-2</v>
      </c>
      <c r="H25" s="344">
        <f>MEDIAN(H17:H22)</f>
        <v>6.5000000000000002E-2</v>
      </c>
      <c r="I25" s="345">
        <f>MEDIAN(I17:I22)</f>
        <v>9.6987467281253861E-2</v>
      </c>
      <c r="J25" s="345">
        <f>MEDIAN(J17:J22)</f>
        <v>8.6987467281253852E-2</v>
      </c>
      <c r="K25" s="12"/>
    </row>
    <row r="26" spans="1:11" ht="17">
      <c r="A26" s="12"/>
      <c r="B26" s="12"/>
      <c r="D26" s="21" t="s">
        <v>0</v>
      </c>
      <c r="E26" s="14" t="s">
        <v>409</v>
      </c>
      <c r="F26" s="54">
        <f>AVERAGE(F17:F22)</f>
        <v>2.4199015473928775E-2</v>
      </c>
      <c r="G26" s="54">
        <f>AVERAGE(G17:G22)</f>
        <v>7.166666666666667E-2</v>
      </c>
      <c r="H26" s="344">
        <f>AVERAGE(H17:H22)</f>
        <v>6.083333333333333E-2</v>
      </c>
      <c r="I26" s="345">
        <f>AVERAGE(I17:I22)</f>
        <v>9.5865682140595446E-2</v>
      </c>
      <c r="J26" s="345">
        <f>AVERAGE(J17:J22)</f>
        <v>8.5032348807262112E-2</v>
      </c>
      <c r="K26" s="12"/>
    </row>
    <row r="27" spans="1:11" ht="17">
      <c r="A27" s="12"/>
      <c r="B27" s="12"/>
      <c r="D27" s="21"/>
      <c r="E27" s="14"/>
      <c r="F27" s="18"/>
      <c r="G27" s="18"/>
      <c r="H27" s="19"/>
      <c r="I27" s="20"/>
      <c r="J27" s="20"/>
      <c r="K27" s="12"/>
    </row>
    <row r="28" spans="1:11" ht="17.5" thickBot="1">
      <c r="A28" s="12"/>
      <c r="B28" s="12"/>
      <c r="C28" s="12"/>
      <c r="D28" s="12"/>
      <c r="E28" s="12"/>
      <c r="F28" s="12"/>
      <c r="G28" s="12"/>
      <c r="H28" s="12"/>
      <c r="I28" s="12"/>
      <c r="J28" s="12"/>
      <c r="K28" s="12"/>
    </row>
    <row r="29" spans="1:11" ht="26.5" thickBot="1">
      <c r="A29" s="12"/>
      <c r="B29" s="12"/>
      <c r="C29" s="12"/>
      <c r="D29" s="12"/>
      <c r="E29" s="12"/>
      <c r="F29" s="12"/>
      <c r="G29" s="204" t="s">
        <v>180</v>
      </c>
      <c r="H29" s="206"/>
      <c r="I29" s="346">
        <v>9.5899999999999999E-2</v>
      </c>
      <c r="J29" s="12"/>
      <c r="K29" s="12"/>
    </row>
    <row r="30" spans="1:11" ht="20.25" customHeight="1" thickBot="1">
      <c r="A30" s="12"/>
      <c r="B30" s="12"/>
      <c r="C30" s="12"/>
      <c r="D30" s="12"/>
      <c r="E30" s="12"/>
      <c r="F30" s="12"/>
      <c r="G30" s="12"/>
      <c r="H30" s="12"/>
      <c r="I30" s="12"/>
      <c r="J30" s="12"/>
      <c r="K30" s="12"/>
    </row>
    <row r="31" spans="1:11" ht="26.5" thickBot="1">
      <c r="A31" s="12"/>
      <c r="B31" s="12"/>
      <c r="C31" s="12"/>
      <c r="D31" s="12"/>
      <c r="E31" s="12"/>
      <c r="F31" s="12"/>
      <c r="G31" s="204" t="s">
        <v>179</v>
      </c>
      <c r="H31" s="207"/>
      <c r="I31" s="346">
        <v>8.5000000000000006E-2</v>
      </c>
      <c r="J31" s="12"/>
      <c r="K31" s="12"/>
    </row>
    <row r="32" spans="1:11" ht="17">
      <c r="A32" s="12"/>
      <c r="B32" s="12"/>
      <c r="C32" s="12"/>
      <c r="D32" s="12"/>
      <c r="E32" s="12"/>
      <c r="F32" s="12"/>
      <c r="G32" s="12"/>
      <c r="H32" s="12"/>
      <c r="I32" s="12"/>
      <c r="J32" s="12"/>
    </row>
    <row r="33" spans="1:10" ht="25.5">
      <c r="A33" s="23" t="s">
        <v>382</v>
      </c>
      <c r="B33" s="12"/>
      <c r="C33" s="23" t="s">
        <v>381</v>
      </c>
      <c r="D33" s="12"/>
      <c r="E33" s="12"/>
      <c r="F33" s="12"/>
      <c r="G33" s="12"/>
      <c r="H33" s="12"/>
      <c r="I33" s="12"/>
      <c r="J33" s="12"/>
    </row>
    <row r="34" spans="1:10" ht="17.5">
      <c r="A34" s="62" t="s">
        <v>385</v>
      </c>
      <c r="B34" s="12"/>
      <c r="C34" s="62" t="s">
        <v>385</v>
      </c>
      <c r="D34" s="12"/>
      <c r="E34" s="12"/>
      <c r="F34" s="12"/>
      <c r="G34" s="12"/>
      <c r="H34" s="12"/>
      <c r="I34" s="12"/>
      <c r="J34" s="12"/>
    </row>
    <row r="35" spans="1:10" ht="17.5">
      <c r="A35" s="62" t="s">
        <v>384</v>
      </c>
      <c r="B35" s="12"/>
      <c r="C35" s="62" t="s">
        <v>383</v>
      </c>
      <c r="D35" s="12"/>
      <c r="E35" s="12"/>
      <c r="F35" s="12"/>
      <c r="G35" s="12"/>
      <c r="H35" s="12"/>
      <c r="I35" s="12"/>
      <c r="J35" s="12"/>
    </row>
    <row r="36" spans="1:10" ht="17">
      <c r="A36" s="43"/>
      <c r="B36" s="12"/>
      <c r="C36" s="43"/>
      <c r="D36" s="12"/>
      <c r="E36" s="12"/>
      <c r="F36" s="12"/>
      <c r="G36" s="12"/>
      <c r="H36" s="12"/>
      <c r="I36" s="12"/>
      <c r="J36" s="12"/>
    </row>
    <row r="37" spans="1:10" ht="17">
      <c r="A37" s="43"/>
      <c r="B37" s="12"/>
      <c r="C37" s="43"/>
      <c r="D37" s="12"/>
      <c r="E37" s="12"/>
      <c r="F37" s="12"/>
      <c r="G37" s="12"/>
      <c r="H37" s="12"/>
      <c r="I37" s="12"/>
      <c r="J37" s="12"/>
    </row>
    <row r="38" spans="1:10" ht="25.5">
      <c r="A38" s="23" t="s">
        <v>203</v>
      </c>
      <c r="B38" s="12"/>
      <c r="C38" s="23" t="s">
        <v>203</v>
      </c>
      <c r="D38" s="12"/>
      <c r="E38" s="12"/>
      <c r="F38" s="12"/>
      <c r="G38" s="12"/>
      <c r="H38" s="12"/>
      <c r="I38" s="12"/>
      <c r="J38" s="12"/>
    </row>
    <row r="39" spans="1:10" ht="17">
      <c r="A39" s="43"/>
      <c r="B39" s="12"/>
      <c r="C39" s="43"/>
      <c r="D39" s="12"/>
      <c r="E39" s="12"/>
      <c r="F39" s="12"/>
      <c r="G39" s="12"/>
      <c r="H39" s="12"/>
      <c r="I39" s="12"/>
      <c r="J39" s="12"/>
    </row>
    <row r="40" spans="1:10" ht="17.5">
      <c r="A40" s="62" t="s">
        <v>204</v>
      </c>
      <c r="B40" s="12"/>
      <c r="C40" s="62" t="s">
        <v>204</v>
      </c>
      <c r="D40" s="12"/>
      <c r="E40" s="12"/>
      <c r="F40" s="12"/>
      <c r="G40" s="12"/>
      <c r="H40" s="12"/>
      <c r="I40" s="12"/>
      <c r="J40" s="12"/>
    </row>
    <row r="41" spans="1:10" ht="17.5">
      <c r="A41" s="62" t="s">
        <v>202</v>
      </c>
      <c r="B41" s="12"/>
      <c r="C41" s="62" t="s">
        <v>202</v>
      </c>
      <c r="D41" s="12"/>
      <c r="E41" s="12"/>
      <c r="F41" s="12"/>
      <c r="G41" s="12"/>
      <c r="H41" s="12"/>
      <c r="I41" s="12"/>
      <c r="J41" s="12"/>
    </row>
    <row r="42" spans="1:10" ht="17.5">
      <c r="A42" s="62" t="s">
        <v>205</v>
      </c>
      <c r="B42" s="12"/>
      <c r="C42" s="62" t="s">
        <v>205</v>
      </c>
      <c r="D42" s="12"/>
      <c r="E42" s="12"/>
      <c r="F42" s="12"/>
      <c r="G42" s="12"/>
      <c r="H42" s="12"/>
      <c r="I42" s="12"/>
      <c r="J42" s="12"/>
    </row>
    <row r="43" spans="1:10" ht="17.5">
      <c r="A43" s="62" t="s">
        <v>387</v>
      </c>
      <c r="B43" s="12"/>
      <c r="C43" s="62" t="s">
        <v>386</v>
      </c>
      <c r="D43" s="12"/>
      <c r="E43" s="12"/>
      <c r="F43" s="12"/>
      <c r="G43" s="12"/>
      <c r="H43" s="12"/>
      <c r="I43" s="12"/>
      <c r="J43" s="12"/>
    </row>
    <row r="44" spans="1:10" ht="17.5">
      <c r="A44" s="62"/>
      <c r="B44" s="12"/>
      <c r="C44" s="62"/>
      <c r="D44" s="12"/>
      <c r="E44" s="12"/>
      <c r="F44" s="12"/>
      <c r="G44" s="12"/>
      <c r="H44" s="12"/>
      <c r="I44" s="12"/>
      <c r="J44" s="12"/>
    </row>
  </sheetData>
  <pageMargins left="0.25" right="0.25" top="0.75" bottom="0.75" header="0.3" footer="0.3"/>
  <pageSetup scale="5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150D5-3409-4DE1-88B0-B66A1BCAC2E5}">
  <sheetPr>
    <tabColor rgb="FF92D050"/>
  </sheetPr>
  <dimension ref="A1:K106"/>
  <sheetViews>
    <sheetView view="pageBreakPreview" topLeftCell="A13" zoomScale="70" zoomScaleNormal="80" zoomScaleSheetLayoutView="70" workbookViewId="0">
      <selection activeCell="E37" sqref="E37"/>
    </sheetView>
  </sheetViews>
  <sheetFormatPr defaultRowHeight="14.5"/>
  <cols>
    <col min="1" max="1" width="47.81640625" customWidth="1"/>
    <col min="2" max="2" width="15.26953125" customWidth="1"/>
    <col min="3" max="3" width="24.54296875" customWidth="1"/>
    <col min="4" max="4" width="26.54296875" customWidth="1"/>
    <col min="5" max="5" width="32.26953125" customWidth="1"/>
    <col min="6" max="6" width="22.453125" customWidth="1"/>
    <col min="7" max="7" width="27" customWidth="1"/>
    <col min="8" max="8" width="43" customWidth="1"/>
    <col min="9" max="9" width="15.26953125" customWidth="1"/>
    <col min="10" max="10" width="24.54296875" customWidth="1"/>
    <col min="11" max="11" width="24.1796875" customWidth="1"/>
    <col min="13" max="13" width="10.54296875" customWidth="1"/>
  </cols>
  <sheetData>
    <row r="1" spans="1:9" ht="25.5">
      <c r="A1" s="23" t="s">
        <v>1</v>
      </c>
      <c r="B1" s="12"/>
      <c r="C1" s="12"/>
      <c r="D1" s="12"/>
      <c r="E1" s="12"/>
      <c r="F1" s="12"/>
      <c r="G1" s="12"/>
      <c r="H1" s="12"/>
      <c r="I1" s="12"/>
    </row>
    <row r="2" spans="1:9" ht="17.5">
      <c r="A2" s="24" t="s">
        <v>9</v>
      </c>
      <c r="B2" s="12"/>
      <c r="C2" s="12"/>
      <c r="D2" s="12"/>
      <c r="E2" s="12"/>
      <c r="F2" s="12"/>
      <c r="G2" s="12"/>
      <c r="H2" s="12"/>
      <c r="I2" s="12"/>
    </row>
    <row r="3" spans="1:9" ht="17">
      <c r="A3" s="25" t="s">
        <v>452</v>
      </c>
      <c r="B3" s="12"/>
      <c r="C3" s="12"/>
      <c r="D3" s="12"/>
      <c r="E3" s="12"/>
      <c r="F3" s="12"/>
      <c r="G3" s="12"/>
      <c r="H3" s="12"/>
      <c r="I3" s="12"/>
    </row>
    <row r="4" spans="1:9" ht="17">
      <c r="A4" s="25"/>
      <c r="B4" s="12"/>
      <c r="C4" s="12"/>
      <c r="D4" s="12"/>
      <c r="E4" s="12"/>
      <c r="F4" s="12"/>
      <c r="G4" s="12"/>
      <c r="H4" s="12"/>
      <c r="I4" s="12"/>
    </row>
    <row r="5" spans="1:9" ht="17.5" thickBot="1">
      <c r="A5" s="12"/>
      <c r="B5" s="12"/>
      <c r="C5" s="12"/>
      <c r="D5" s="12"/>
      <c r="E5" s="12"/>
      <c r="F5" s="12"/>
      <c r="G5" s="12"/>
      <c r="H5" s="12"/>
      <c r="I5" s="26"/>
    </row>
    <row r="6" spans="1:9" ht="21.5" thickBot="1">
      <c r="A6" s="280" t="str">
        <f>+'S&amp;D'!A12</f>
        <v>Water Utility Companies (Private)</v>
      </c>
      <c r="B6" s="207"/>
      <c r="C6" s="12"/>
      <c r="D6" s="12"/>
      <c r="E6" s="12"/>
      <c r="F6" s="12"/>
      <c r="G6" s="12"/>
      <c r="H6" s="12"/>
      <c r="I6" s="12"/>
    </row>
    <row r="7" spans="1:9" ht="21">
      <c r="A7" s="30"/>
      <c r="B7" s="12"/>
      <c r="C7" s="12"/>
      <c r="D7" s="12"/>
      <c r="E7" s="12"/>
      <c r="F7" s="12"/>
      <c r="G7" s="12"/>
      <c r="H7" s="12"/>
      <c r="I7" s="12"/>
    </row>
    <row r="8" spans="1:9" ht="21.5" thickBot="1">
      <c r="A8" s="30"/>
      <c r="B8" s="12"/>
      <c r="C8" s="12"/>
      <c r="D8" s="28"/>
      <c r="E8" s="28"/>
      <c r="F8" s="28"/>
      <c r="G8" s="12"/>
      <c r="H8" s="12"/>
      <c r="I8" s="12"/>
    </row>
    <row r="9" spans="1:9" ht="25.5">
      <c r="A9" s="30"/>
      <c r="B9" s="12"/>
      <c r="C9" s="12"/>
      <c r="D9" s="12"/>
      <c r="E9" s="31" t="s">
        <v>181</v>
      </c>
      <c r="F9" s="12"/>
      <c r="G9" s="12"/>
      <c r="H9" s="12"/>
      <c r="I9" s="12"/>
    </row>
    <row r="10" spans="1:9" ht="21.5" thickBot="1">
      <c r="A10" s="30"/>
      <c r="B10" s="12"/>
      <c r="C10" s="12"/>
      <c r="D10" s="28"/>
      <c r="E10" s="32" t="s">
        <v>453</v>
      </c>
      <c r="F10" s="28"/>
      <c r="G10" s="12"/>
      <c r="H10" s="12"/>
      <c r="I10" s="12"/>
    </row>
    <row r="11" spans="1:9" ht="21">
      <c r="A11" s="30"/>
      <c r="B11" s="12"/>
      <c r="C11" s="12"/>
      <c r="D11" s="12"/>
      <c r="E11" s="12"/>
      <c r="F11" s="34"/>
      <c r="G11" s="34"/>
      <c r="H11" s="12"/>
      <c r="I11" s="12"/>
    </row>
    <row r="12" spans="1:9" ht="21">
      <c r="A12" s="30"/>
      <c r="B12" s="12"/>
      <c r="C12" s="12"/>
      <c r="D12" s="12" t="s">
        <v>0</v>
      </c>
      <c r="E12" s="12"/>
      <c r="F12" s="34"/>
      <c r="G12" s="34"/>
      <c r="H12" s="12"/>
      <c r="I12" s="12"/>
    </row>
    <row r="13" spans="1:9" ht="45.75" customHeight="1" thickBot="1">
      <c r="A13" s="33" t="s">
        <v>0</v>
      </c>
      <c r="B13" s="33" t="s">
        <v>0</v>
      </c>
      <c r="C13" s="33" t="s">
        <v>0</v>
      </c>
      <c r="D13" s="28"/>
      <c r="E13" s="28"/>
      <c r="F13" s="33" t="s">
        <v>0</v>
      </c>
      <c r="G13" s="33"/>
      <c r="H13" s="33"/>
      <c r="I13" s="12"/>
    </row>
    <row r="14" spans="1:9" ht="17">
      <c r="A14" s="34" t="s">
        <v>0</v>
      </c>
      <c r="B14" s="34" t="s">
        <v>3</v>
      </c>
      <c r="C14" s="34" t="s">
        <v>5</v>
      </c>
      <c r="D14" s="34" t="s">
        <v>177</v>
      </c>
      <c r="E14" s="34" t="s">
        <v>178</v>
      </c>
      <c r="F14" s="34" t="s">
        <v>182</v>
      </c>
      <c r="G14" s="34" t="s">
        <v>19</v>
      </c>
      <c r="H14" s="34" t="s">
        <v>184</v>
      </c>
      <c r="I14" s="12"/>
    </row>
    <row r="15" spans="1:9" ht="17">
      <c r="A15" s="34" t="s">
        <v>2</v>
      </c>
      <c r="B15" s="34" t="s">
        <v>4</v>
      </c>
      <c r="C15" s="34" t="s">
        <v>6</v>
      </c>
      <c r="D15" s="34" t="s">
        <v>402</v>
      </c>
      <c r="E15" s="34" t="s">
        <v>403</v>
      </c>
      <c r="F15" s="34" t="s">
        <v>127</v>
      </c>
      <c r="G15" s="34" t="s">
        <v>183</v>
      </c>
      <c r="H15" s="34" t="s">
        <v>173</v>
      </c>
      <c r="I15" s="12"/>
    </row>
    <row r="16" spans="1:9" ht="17">
      <c r="A16" s="34"/>
      <c r="B16" s="34" t="s">
        <v>0</v>
      </c>
      <c r="C16" s="34" t="s">
        <v>0</v>
      </c>
      <c r="D16" s="34" t="s">
        <v>0</v>
      </c>
      <c r="E16" s="35" t="s">
        <v>455</v>
      </c>
      <c r="F16" s="35" t="s">
        <v>0</v>
      </c>
      <c r="G16" s="34" t="s">
        <v>188</v>
      </c>
      <c r="H16" s="35" t="s">
        <v>189</v>
      </c>
      <c r="I16" s="12"/>
    </row>
    <row r="17" spans="1:11" ht="18" customHeight="1" thickBot="1">
      <c r="A17" s="66" t="s">
        <v>0</v>
      </c>
      <c r="B17" s="37" t="s">
        <v>0</v>
      </c>
      <c r="C17" s="37" t="s">
        <v>0</v>
      </c>
      <c r="D17" s="32" t="s">
        <v>186</v>
      </c>
      <c r="E17" s="32" t="s">
        <v>187</v>
      </c>
      <c r="F17" s="32" t="s">
        <v>185</v>
      </c>
      <c r="G17" s="34" t="s">
        <v>93</v>
      </c>
      <c r="H17" s="158"/>
      <c r="I17" s="12"/>
    </row>
    <row r="18" spans="1:11" ht="17">
      <c r="A18" s="38" t="s">
        <v>0</v>
      </c>
      <c r="B18" s="38" t="s">
        <v>0</v>
      </c>
      <c r="C18" s="38" t="s">
        <v>0</v>
      </c>
      <c r="D18" s="38" t="s">
        <v>7</v>
      </c>
      <c r="E18" s="38" t="s">
        <v>7</v>
      </c>
      <c r="F18" s="38" t="s">
        <v>0</v>
      </c>
      <c r="G18" s="67" t="s">
        <v>0</v>
      </c>
      <c r="H18" s="38" t="s">
        <v>0</v>
      </c>
      <c r="I18" s="12"/>
    </row>
    <row r="19" spans="1:11" ht="17">
      <c r="A19" s="34"/>
      <c r="B19" s="34"/>
      <c r="C19" s="34"/>
      <c r="D19" s="34"/>
      <c r="E19" s="12"/>
      <c r="F19" s="34"/>
      <c r="G19" s="12"/>
      <c r="H19" s="12"/>
      <c r="I19" s="12"/>
      <c r="J19" t="s">
        <v>0</v>
      </c>
      <c r="K19" t="s">
        <v>0</v>
      </c>
    </row>
    <row r="20" spans="1:11" ht="17">
      <c r="A20" s="12"/>
      <c r="B20" s="12"/>
      <c r="C20" s="12"/>
      <c r="D20" s="12"/>
      <c r="E20" s="12"/>
      <c r="F20" s="12"/>
      <c r="G20" s="12"/>
      <c r="H20" s="12" t="s">
        <v>0</v>
      </c>
      <c r="I20" s="12"/>
      <c r="J20" t="s">
        <v>0</v>
      </c>
      <c r="K20" t="s">
        <v>0</v>
      </c>
    </row>
    <row r="21" spans="1:11" ht="17.5">
      <c r="A21" s="62" t="str">
        <f>+'S&amp;D'!A22</f>
        <v>American States Water Company</v>
      </c>
      <c r="B21" s="91" t="str">
        <f>+'S&amp;D'!B22</f>
        <v>AWR</v>
      </c>
      <c r="C21" s="34" t="str">
        <f>+'S&amp;D'!C22</f>
        <v>Water Utility</v>
      </c>
      <c r="D21" s="65">
        <f>+'Single Stage Div Growth Model'!F17</f>
        <v>2.2382491917433474E-2</v>
      </c>
      <c r="E21" s="65">
        <f>+'Single Stage Div Growth Model'!H17</f>
        <v>6.5000000000000002E-2</v>
      </c>
      <c r="F21" s="65">
        <f>+'Growth &amp; Inflation Rates'!F93</f>
        <v>4.1099999999999998E-2</v>
      </c>
      <c r="G21" s="65">
        <f t="shared" ref="G21:G26" si="0">(F21+E21)/2</f>
        <v>5.305E-2</v>
      </c>
      <c r="H21" s="65">
        <f>D21*(1+(0.5*G21))+(0.67*E21)+(0.33*F21)</f>
        <v>8.0089187515543406E-2</v>
      </c>
      <c r="I21" s="12"/>
      <c r="J21" t="s">
        <v>0</v>
      </c>
      <c r="K21" t="s">
        <v>0</v>
      </c>
    </row>
    <row r="22" spans="1:11" ht="17.5">
      <c r="A22" s="62" t="str">
        <f>+'S&amp;D'!A23</f>
        <v>American Water Works Company Inc</v>
      </c>
      <c r="B22" s="91" t="str">
        <f>+'S&amp;D'!B23</f>
        <v>AWK</v>
      </c>
      <c r="C22" s="34" t="str">
        <f>+'S&amp;D'!C23</f>
        <v>Water Utility</v>
      </c>
      <c r="D22" s="65">
        <f>+'Single Stage Div Growth Model'!F18</f>
        <v>2.2728994620804605E-2</v>
      </c>
      <c r="E22" s="65">
        <f>+'Single Stage Div Growth Model'!H18</f>
        <v>0.03</v>
      </c>
      <c r="F22" s="65">
        <f>+'Growth &amp; Inflation Rates'!F93</f>
        <v>4.1099999999999998E-2</v>
      </c>
      <c r="G22" s="65">
        <f t="shared" si="0"/>
        <v>3.5549999999999998E-2</v>
      </c>
      <c r="H22" s="65">
        <f t="shared" ref="H22:H26" si="1">D22*(1+(0.5*G22))+(0.67*E22)+(0.33*F22)</f>
        <v>5.6796002500189409E-2</v>
      </c>
      <c r="I22" s="12"/>
      <c r="J22" t="s">
        <v>0</v>
      </c>
      <c r="K22" t="s">
        <v>0</v>
      </c>
    </row>
    <row r="23" spans="1:11" ht="17.5">
      <c r="A23" s="62" t="str">
        <f>+'S&amp;D'!A24</f>
        <v xml:space="preserve">California Water Service Group </v>
      </c>
      <c r="B23" s="91" t="str">
        <f>+'S&amp;D'!B24</f>
        <v>CWT</v>
      </c>
      <c r="C23" s="34" t="str">
        <f>+'S&amp;D'!C24</f>
        <v>Water Utility</v>
      </c>
      <c r="D23" s="65">
        <f>+'Single Stage Div Growth Model'!F19</f>
        <v>2.1592442645074227E-2</v>
      </c>
      <c r="E23" s="65">
        <f>+'Single Stage Div Growth Model'!H19</f>
        <v>6.5000000000000002E-2</v>
      </c>
      <c r="F23" s="65">
        <f>+'Growth &amp; Inflation Rates'!F93</f>
        <v>4.1099999999999998E-2</v>
      </c>
      <c r="G23" s="65">
        <f t="shared" si="0"/>
        <v>5.305E-2</v>
      </c>
      <c r="H23" s="65">
        <f t="shared" si="1"/>
        <v>7.9278182186234822E-2</v>
      </c>
      <c r="I23" s="12"/>
      <c r="J23" t="s">
        <v>0</v>
      </c>
      <c r="K23" t="s">
        <v>0</v>
      </c>
    </row>
    <row r="24" spans="1:11" ht="17.5">
      <c r="A24" s="62" t="str">
        <f>+'S&amp;D'!A25</f>
        <v>Essential Utilities, Inc.</v>
      </c>
      <c r="B24" s="91" t="str">
        <f>+'S&amp;D'!B25</f>
        <v>WTRG</v>
      </c>
      <c r="C24" s="34" t="str">
        <f>+'S&amp;D'!C25</f>
        <v>Water Utility</v>
      </c>
      <c r="D24" s="65">
        <f>+'Single Stage Div Growth Model'!F20</f>
        <v>3.4002677376171353E-2</v>
      </c>
      <c r="E24" s="65">
        <f>+'Single Stage Div Growth Model'!H20</f>
        <v>7.4999999999999997E-2</v>
      </c>
      <c r="F24" s="65">
        <f>+'Growth &amp; Inflation Rates'!F93</f>
        <v>4.1099999999999998E-2</v>
      </c>
      <c r="G24" s="65">
        <f t="shared" si="0"/>
        <v>5.8049999999999997E-2</v>
      </c>
      <c r="H24" s="65">
        <f t="shared" si="1"/>
        <v>9.880260508701473E-2</v>
      </c>
      <c r="I24" s="12"/>
      <c r="J24" t="s">
        <v>0</v>
      </c>
      <c r="K24" t="s">
        <v>0</v>
      </c>
    </row>
    <row r="25" spans="1:11" ht="17.5">
      <c r="A25" s="62" t="str">
        <f>+'S&amp;D'!A26</f>
        <v>Middlesex Water Company</v>
      </c>
      <c r="B25" s="91" t="str">
        <f>+'S&amp;D'!B26</f>
        <v>MSEX</v>
      </c>
      <c r="C25" s="34" t="str">
        <f>+'S&amp;D'!C26</f>
        <v>Water Utility</v>
      </c>
      <c r="D25" s="65">
        <f>+'Single Stage Div Growth Model'!F21</f>
        <v>2.0115818348064612E-2</v>
      </c>
      <c r="E25" s="65">
        <f>+'Single Stage Div Growth Model'!H21</f>
        <v>0.05</v>
      </c>
      <c r="F25" s="65">
        <f>+'Growth &amp; Inflation Rates'!F93</f>
        <v>4.1099999999999998E-2</v>
      </c>
      <c r="G25" s="65">
        <f t="shared" si="0"/>
        <v>4.555E-2</v>
      </c>
      <c r="H25" s="65">
        <f t="shared" si="1"/>
        <v>6.7636956110941795E-2</v>
      </c>
      <c r="I25" s="12"/>
      <c r="J25" t="s">
        <v>0</v>
      </c>
      <c r="K25" t="s">
        <v>0</v>
      </c>
    </row>
    <row r="26" spans="1:11" ht="18" thickBot="1">
      <c r="A26" s="62" t="str">
        <f>+'S&amp;D'!A27</f>
        <v>SJW Corporation</v>
      </c>
      <c r="B26" s="91" t="str">
        <f>+'S&amp;D'!B27</f>
        <v>SJW</v>
      </c>
      <c r="C26" s="34" t="str">
        <f>+'S&amp;D'!C27</f>
        <v>Water Utility</v>
      </c>
      <c r="D26" s="65">
        <f>+'Single Stage Div Growth Model'!F22</f>
        <v>2.4371667936024372E-2</v>
      </c>
      <c r="E26" s="65">
        <f>+'Single Stage Div Growth Model'!H22</f>
        <v>0.08</v>
      </c>
      <c r="F26" s="65">
        <f>+'Growth &amp; Inflation Rates'!F93</f>
        <v>4.1099999999999998E-2</v>
      </c>
      <c r="G26" s="65">
        <f t="shared" si="0"/>
        <v>6.055E-2</v>
      </c>
      <c r="H26" s="153">
        <f t="shared" si="1"/>
        <v>9.2272520182787518E-2</v>
      </c>
      <c r="I26" s="12"/>
      <c r="J26" s="11" t="s">
        <v>0</v>
      </c>
      <c r="K26" t="s">
        <v>0</v>
      </c>
    </row>
    <row r="27" spans="1:11" ht="17.5" thickTop="1">
      <c r="A27" s="12"/>
      <c r="B27" s="12"/>
      <c r="C27" s="12"/>
      <c r="D27" s="12"/>
      <c r="E27" s="12"/>
      <c r="F27" s="12"/>
      <c r="G27" s="198" t="s">
        <v>45</v>
      </c>
      <c r="H27" s="55">
        <f>MAX(H21:H26)</f>
        <v>9.880260508701473E-2</v>
      </c>
      <c r="I27" s="12"/>
    </row>
    <row r="28" spans="1:11" ht="17">
      <c r="A28" s="12"/>
      <c r="B28" s="12"/>
      <c r="C28" s="14" t="s">
        <v>0</v>
      </c>
      <c r="D28" s="15" t="s">
        <v>0</v>
      </c>
      <c r="E28" s="15" t="s">
        <v>0</v>
      </c>
      <c r="F28" s="16" t="s">
        <v>0</v>
      </c>
      <c r="G28" s="16" t="s">
        <v>46</v>
      </c>
      <c r="H28" s="336">
        <f>MIN(H21:H26)</f>
        <v>5.6796002500189409E-2</v>
      </c>
      <c r="I28" s="12"/>
    </row>
    <row r="29" spans="1:11" ht="17">
      <c r="A29" s="12"/>
      <c r="B29" s="12"/>
      <c r="D29" s="55" t="s">
        <v>0</v>
      </c>
      <c r="E29" s="50" t="s">
        <v>0</v>
      </c>
      <c r="F29" s="50" t="s">
        <v>0</v>
      </c>
      <c r="G29" s="14" t="s">
        <v>18</v>
      </c>
      <c r="H29" s="51">
        <f>MEDIAN(H21:H26)</f>
        <v>7.9683684850889114E-2</v>
      </c>
      <c r="I29" s="12"/>
    </row>
    <row r="30" spans="1:11" ht="17">
      <c r="A30" s="12"/>
      <c r="B30" s="12"/>
      <c r="D30" s="55" t="s">
        <v>0</v>
      </c>
      <c r="E30" s="50" t="s">
        <v>0</v>
      </c>
      <c r="F30" s="55" t="s">
        <v>0</v>
      </c>
      <c r="G30" s="14" t="s">
        <v>409</v>
      </c>
      <c r="H30" s="51">
        <f>AVERAGE(H21:H26)</f>
        <v>7.9145908930451939E-2</v>
      </c>
      <c r="I30" s="12"/>
    </row>
    <row r="31" spans="1:11" ht="17">
      <c r="A31" s="12"/>
      <c r="B31" s="12"/>
      <c r="C31" s="14"/>
      <c r="D31" s="18"/>
      <c r="E31" s="19"/>
      <c r="F31" s="18"/>
      <c r="G31" s="20"/>
      <c r="H31" s="20"/>
      <c r="I31" s="12"/>
    </row>
    <row r="32" spans="1:11" ht="17.5" thickBot="1">
      <c r="A32" s="12"/>
      <c r="B32" s="12"/>
      <c r="C32" s="12"/>
      <c r="D32" s="12"/>
      <c r="E32" s="12"/>
      <c r="F32" s="12"/>
      <c r="G32" s="12"/>
      <c r="H32" s="12"/>
      <c r="I32" s="12"/>
    </row>
    <row r="33" spans="1:9" ht="26.5" thickBot="1">
      <c r="A33" s="12"/>
      <c r="B33" s="12"/>
      <c r="C33" s="12"/>
      <c r="D33" s="12"/>
      <c r="F33" s="204"/>
      <c r="G33" s="205" t="s">
        <v>238</v>
      </c>
      <c r="H33" s="347">
        <v>7.9100000000000004E-2</v>
      </c>
      <c r="I33" s="12"/>
    </row>
    <row r="34" spans="1:9" ht="17">
      <c r="A34" s="12"/>
      <c r="B34" s="12"/>
      <c r="C34" s="12"/>
      <c r="D34" s="12"/>
      <c r="E34" s="12"/>
      <c r="F34" s="12"/>
      <c r="G34" s="12"/>
      <c r="H34" s="12"/>
      <c r="I34" s="12"/>
    </row>
    <row r="35" spans="1:9" ht="26.5">
      <c r="A35" s="23" t="s">
        <v>0</v>
      </c>
      <c r="B35" s="12"/>
      <c r="C35" s="12"/>
      <c r="D35" s="12"/>
      <c r="E35" s="12"/>
      <c r="F35" s="12"/>
      <c r="G35" s="22" t="s">
        <v>0</v>
      </c>
      <c r="H35" s="12"/>
      <c r="I35" s="12"/>
    </row>
    <row r="36" spans="1:9" ht="17">
      <c r="A36" s="43"/>
      <c r="B36" s="12"/>
      <c r="C36" s="12"/>
      <c r="D36" s="12"/>
      <c r="E36" s="12"/>
      <c r="F36" s="12"/>
      <c r="G36" s="12"/>
      <c r="H36" s="12"/>
      <c r="I36" s="12"/>
    </row>
    <row r="37" spans="1:9" ht="25.5">
      <c r="A37" s="23" t="s">
        <v>331</v>
      </c>
      <c r="B37" s="12"/>
      <c r="C37" s="12"/>
      <c r="D37" s="12"/>
      <c r="E37" s="12"/>
      <c r="F37" s="12"/>
      <c r="G37" s="12"/>
      <c r="H37" s="12"/>
      <c r="I37" s="12"/>
    </row>
    <row r="38" spans="1:9" ht="17">
      <c r="A38" s="43"/>
      <c r="B38" s="12"/>
      <c r="C38" s="12"/>
      <c r="D38" s="12"/>
      <c r="E38" s="12"/>
      <c r="F38" s="12"/>
      <c r="G38" s="12"/>
      <c r="H38" s="12"/>
      <c r="I38" s="12"/>
    </row>
    <row r="39" spans="1:9" ht="17.5">
      <c r="A39" s="62" t="s">
        <v>204</v>
      </c>
      <c r="B39" s="12"/>
      <c r="C39" s="12"/>
      <c r="D39" s="12"/>
      <c r="E39" s="12"/>
      <c r="F39" s="12"/>
      <c r="G39" s="12"/>
      <c r="H39" s="12"/>
      <c r="I39" s="12"/>
    </row>
    <row r="40" spans="1:9" ht="17.5">
      <c r="A40" s="62" t="s">
        <v>334</v>
      </c>
      <c r="B40" s="12"/>
      <c r="C40" s="12"/>
      <c r="D40" s="12"/>
      <c r="E40" s="12"/>
      <c r="F40" s="12"/>
      <c r="G40" s="12"/>
      <c r="H40" s="12"/>
      <c r="I40" s="12"/>
    </row>
    <row r="41" spans="1:9" ht="17.5">
      <c r="A41" s="62" t="s">
        <v>332</v>
      </c>
      <c r="B41" s="12"/>
      <c r="C41" s="12"/>
      <c r="D41" s="12"/>
      <c r="E41" s="12"/>
      <c r="F41" s="12"/>
      <c r="G41" s="12"/>
      <c r="H41" s="12"/>
      <c r="I41" s="12"/>
    </row>
    <row r="42" spans="1:9" ht="17.5">
      <c r="A42" s="62" t="s">
        <v>333</v>
      </c>
      <c r="B42" s="12"/>
      <c r="C42" s="12"/>
      <c r="D42" s="12"/>
      <c r="E42" s="12"/>
      <c r="F42" s="12"/>
      <c r="G42" s="12"/>
      <c r="H42" s="12"/>
      <c r="I42" s="12"/>
    </row>
    <row r="43" spans="1:9" ht="17.5">
      <c r="A43" s="62" t="s">
        <v>335</v>
      </c>
      <c r="B43" s="12"/>
      <c r="C43" s="12"/>
      <c r="D43" s="12"/>
      <c r="E43" s="12"/>
      <c r="F43" s="12"/>
      <c r="G43" s="12"/>
      <c r="H43" s="12"/>
      <c r="I43" s="12"/>
    </row>
    <row r="44" spans="1:9" ht="17">
      <c r="A44" s="12"/>
      <c r="B44" s="12"/>
      <c r="C44" s="12"/>
      <c r="D44" s="12"/>
      <c r="E44" s="12"/>
      <c r="F44" s="12"/>
      <c r="G44" s="12"/>
      <c r="H44" s="12"/>
      <c r="I44" s="12"/>
    </row>
    <row r="45" spans="1:9" ht="17">
      <c r="A45" s="12"/>
      <c r="B45" s="12"/>
      <c r="C45" s="12"/>
      <c r="D45" s="12"/>
      <c r="E45" s="12"/>
      <c r="F45" s="12"/>
      <c r="G45" s="12"/>
      <c r="H45" s="12"/>
      <c r="I45" s="12"/>
    </row>
    <row r="46" spans="1:9" ht="17">
      <c r="A46" s="12"/>
      <c r="B46" s="12"/>
      <c r="C46" s="12"/>
      <c r="D46" s="12"/>
      <c r="E46" s="12"/>
      <c r="F46" s="12"/>
      <c r="G46" s="12"/>
      <c r="H46" s="12"/>
      <c r="I46" s="12"/>
    </row>
    <row r="47" spans="1:9" ht="17">
      <c r="A47" s="12"/>
      <c r="B47" s="12"/>
      <c r="C47" s="12"/>
      <c r="D47" s="12"/>
      <c r="E47" s="12"/>
      <c r="F47" s="12"/>
      <c r="G47" s="12"/>
      <c r="H47" s="12"/>
      <c r="I47" s="12"/>
    </row>
    <row r="48" spans="1:9" ht="17">
      <c r="A48" s="12"/>
      <c r="B48" s="12"/>
      <c r="C48" s="12"/>
      <c r="D48" s="12"/>
      <c r="E48" s="12"/>
      <c r="F48" s="12"/>
      <c r="G48" s="12"/>
      <c r="H48" s="12"/>
      <c r="I48" s="12"/>
    </row>
    <row r="49" spans="1:9" ht="17">
      <c r="A49" s="12"/>
      <c r="B49" s="12"/>
      <c r="C49" s="12"/>
      <c r="D49" s="12"/>
      <c r="E49" s="12"/>
      <c r="F49" s="12"/>
      <c r="G49" s="12"/>
      <c r="H49" s="12"/>
      <c r="I49" s="12"/>
    </row>
    <row r="50" spans="1:9" ht="17">
      <c r="A50" s="12"/>
      <c r="B50" s="12"/>
      <c r="C50" s="12"/>
      <c r="D50" s="12"/>
      <c r="E50" s="12"/>
      <c r="F50" s="12"/>
      <c r="G50" s="12"/>
      <c r="H50" s="12"/>
      <c r="I50" s="12"/>
    </row>
    <row r="51" spans="1:9" ht="17">
      <c r="A51" s="12"/>
      <c r="B51" s="12"/>
      <c r="C51" s="12"/>
      <c r="D51" s="12"/>
      <c r="E51" s="12"/>
      <c r="F51" s="12"/>
      <c r="G51" s="12"/>
      <c r="H51" s="12"/>
      <c r="I51" s="12"/>
    </row>
    <row r="52" spans="1:9" ht="17">
      <c r="A52" s="12"/>
      <c r="B52" s="12"/>
      <c r="C52" s="12"/>
      <c r="D52" s="12"/>
      <c r="E52" s="12"/>
      <c r="F52" s="12"/>
      <c r="G52" s="12"/>
      <c r="H52" s="12"/>
      <c r="I52" s="12"/>
    </row>
    <row r="53" spans="1:9" ht="17">
      <c r="A53" s="12"/>
      <c r="B53" s="12"/>
      <c r="C53" s="12"/>
      <c r="D53" s="12"/>
      <c r="E53" s="12"/>
      <c r="F53" s="12"/>
      <c r="G53" s="12"/>
      <c r="H53" s="12"/>
      <c r="I53" s="12"/>
    </row>
    <row r="54" spans="1:9" ht="17">
      <c r="A54" s="12"/>
      <c r="B54" s="12"/>
      <c r="C54" s="12"/>
      <c r="D54" s="12"/>
      <c r="E54" s="12"/>
      <c r="F54" s="12"/>
      <c r="G54" s="12"/>
      <c r="H54" s="12"/>
      <c r="I54" s="12"/>
    </row>
    <row r="55" spans="1:9" ht="17">
      <c r="A55" s="12"/>
      <c r="B55" s="12"/>
      <c r="C55" s="12"/>
      <c r="D55" s="12"/>
      <c r="E55" s="12"/>
      <c r="F55" s="12"/>
      <c r="G55" s="12"/>
      <c r="H55" s="12"/>
      <c r="I55" s="12"/>
    </row>
    <row r="56" spans="1:9" ht="17">
      <c r="A56" s="12"/>
      <c r="B56" s="12"/>
      <c r="C56" s="12"/>
      <c r="D56" s="12"/>
      <c r="E56" s="12"/>
      <c r="F56" s="12"/>
      <c r="G56" s="12"/>
      <c r="H56" s="12"/>
      <c r="I56" s="12"/>
    </row>
    <row r="57" spans="1:9" ht="17">
      <c r="A57" s="12"/>
      <c r="B57" s="12"/>
      <c r="C57" s="12"/>
      <c r="D57" s="12"/>
      <c r="E57" s="12"/>
      <c r="F57" s="12"/>
      <c r="G57" s="12"/>
      <c r="H57" s="12"/>
      <c r="I57" s="12"/>
    </row>
    <row r="58" spans="1:9" ht="17">
      <c r="A58" s="12"/>
      <c r="B58" s="12"/>
      <c r="C58" s="12"/>
      <c r="D58" s="12"/>
      <c r="E58" s="12"/>
      <c r="F58" s="12"/>
      <c r="G58" s="12"/>
      <c r="H58" s="12"/>
      <c r="I58" s="12"/>
    </row>
    <row r="59" spans="1:9" ht="17">
      <c r="A59" s="12"/>
      <c r="B59" s="12"/>
      <c r="C59" s="12"/>
      <c r="D59" s="12"/>
      <c r="E59" s="12"/>
      <c r="F59" s="12"/>
      <c r="G59" s="12"/>
      <c r="H59" s="12"/>
      <c r="I59" s="12"/>
    </row>
    <row r="60" spans="1:9" ht="17">
      <c r="A60" s="12"/>
      <c r="B60" s="12"/>
      <c r="C60" s="12"/>
      <c r="D60" s="12"/>
      <c r="E60" s="12"/>
      <c r="F60" s="12"/>
      <c r="G60" s="12"/>
      <c r="H60" s="12"/>
      <c r="I60" s="12"/>
    </row>
    <row r="61" spans="1:9" ht="17">
      <c r="A61" s="12"/>
      <c r="B61" s="12"/>
      <c r="C61" s="12"/>
      <c r="D61" s="12"/>
      <c r="E61" s="12"/>
      <c r="F61" s="12"/>
      <c r="G61" s="12"/>
      <c r="H61" s="12"/>
      <c r="I61" s="12"/>
    </row>
    <row r="62" spans="1:9" ht="17">
      <c r="A62" s="12"/>
      <c r="B62" s="12"/>
      <c r="C62" s="12"/>
      <c r="D62" s="12"/>
      <c r="E62" s="12"/>
      <c r="F62" s="12"/>
      <c r="G62" s="12"/>
      <c r="H62" s="12"/>
      <c r="I62" s="12"/>
    </row>
    <row r="63" spans="1:9" ht="17">
      <c r="A63" s="12"/>
      <c r="B63" s="12"/>
      <c r="C63" s="12"/>
      <c r="D63" s="12"/>
      <c r="E63" s="12"/>
      <c r="F63" s="12"/>
      <c r="G63" s="12"/>
      <c r="H63" s="12"/>
      <c r="I63" s="12"/>
    </row>
    <row r="64" spans="1:9" ht="17">
      <c r="A64" s="12"/>
      <c r="B64" s="12"/>
      <c r="C64" s="12"/>
      <c r="D64" s="12"/>
      <c r="E64" s="12"/>
      <c r="F64" s="12"/>
      <c r="G64" s="12"/>
      <c r="H64" s="12"/>
      <c r="I64" s="12"/>
    </row>
    <row r="65" spans="1:9" ht="17">
      <c r="A65" s="12"/>
      <c r="B65" s="12"/>
      <c r="C65" s="12"/>
      <c r="D65" s="12"/>
      <c r="E65" s="12"/>
      <c r="F65" s="12"/>
      <c r="G65" s="12"/>
      <c r="H65" s="12"/>
      <c r="I65" s="12"/>
    </row>
    <row r="66" spans="1:9" ht="17">
      <c r="A66" s="12"/>
      <c r="B66" s="12"/>
      <c r="C66" s="12"/>
      <c r="D66" s="12"/>
      <c r="E66" s="12"/>
      <c r="F66" s="12"/>
      <c r="G66" s="12"/>
      <c r="H66" s="12"/>
      <c r="I66" s="12"/>
    </row>
    <row r="67" spans="1:9" ht="17">
      <c r="A67" s="12"/>
      <c r="B67" s="12"/>
      <c r="C67" s="12"/>
      <c r="D67" s="12"/>
      <c r="E67" s="12"/>
      <c r="F67" s="12"/>
      <c r="G67" s="12"/>
      <c r="H67" s="12"/>
      <c r="I67" s="12"/>
    </row>
    <row r="68" spans="1:9" ht="17">
      <c r="A68" s="12"/>
      <c r="B68" s="12"/>
      <c r="C68" s="12"/>
      <c r="D68" s="12"/>
      <c r="E68" s="12"/>
      <c r="F68" s="12"/>
      <c r="G68" s="12"/>
      <c r="H68" s="12"/>
      <c r="I68" s="12"/>
    </row>
    <row r="69" spans="1:9" ht="17">
      <c r="A69" s="12"/>
      <c r="B69" s="12"/>
      <c r="C69" s="12"/>
      <c r="D69" s="12"/>
      <c r="E69" s="12"/>
      <c r="F69" s="12"/>
      <c r="G69" s="12"/>
      <c r="H69" s="12"/>
      <c r="I69" s="12"/>
    </row>
    <row r="70" spans="1:9" ht="17">
      <c r="A70" s="12"/>
      <c r="B70" s="12"/>
      <c r="C70" s="12"/>
      <c r="D70" s="12"/>
      <c r="E70" s="12"/>
      <c r="F70" s="12"/>
      <c r="G70" s="12"/>
      <c r="H70" s="12"/>
      <c r="I70" s="12"/>
    </row>
    <row r="71" spans="1:9" ht="17">
      <c r="A71" s="12"/>
      <c r="B71" s="12"/>
      <c r="C71" s="12"/>
      <c r="D71" s="12"/>
      <c r="E71" s="12"/>
      <c r="F71" s="12"/>
      <c r="G71" s="12"/>
      <c r="H71" s="12"/>
      <c r="I71" s="12"/>
    </row>
    <row r="72" spans="1:9" ht="17">
      <c r="A72" s="12"/>
      <c r="B72" s="12"/>
      <c r="C72" s="12"/>
      <c r="D72" s="12"/>
      <c r="E72" s="12"/>
      <c r="F72" s="12"/>
      <c r="G72" s="12"/>
      <c r="H72" s="12"/>
      <c r="I72" s="12"/>
    </row>
    <row r="73" spans="1:9" ht="17">
      <c r="A73" s="12"/>
      <c r="B73" s="12"/>
      <c r="C73" s="12"/>
      <c r="D73" s="12"/>
      <c r="E73" s="12"/>
      <c r="F73" s="12"/>
      <c r="G73" s="12"/>
      <c r="H73" s="12"/>
      <c r="I73" s="12"/>
    </row>
    <row r="74" spans="1:9" ht="17">
      <c r="A74" s="12"/>
      <c r="B74" s="12"/>
      <c r="C74" s="12"/>
      <c r="D74" s="12"/>
      <c r="E74" s="12"/>
      <c r="F74" s="12"/>
      <c r="G74" s="12"/>
      <c r="H74" s="12"/>
      <c r="I74" s="12"/>
    </row>
    <row r="75" spans="1:9" ht="17">
      <c r="A75" s="12"/>
      <c r="B75" s="12"/>
      <c r="C75" s="12"/>
      <c r="D75" s="12"/>
      <c r="E75" s="12"/>
      <c r="F75" s="12"/>
      <c r="G75" s="12"/>
      <c r="H75" s="12"/>
      <c r="I75" s="12"/>
    </row>
    <row r="76" spans="1:9" ht="17">
      <c r="A76" s="12"/>
      <c r="B76" s="12"/>
      <c r="C76" s="12"/>
      <c r="D76" s="12"/>
      <c r="E76" s="12"/>
      <c r="F76" s="12"/>
      <c r="G76" s="12"/>
      <c r="H76" s="12"/>
      <c r="I76" s="12"/>
    </row>
    <row r="77" spans="1:9" ht="17">
      <c r="A77" s="12"/>
      <c r="B77" s="12"/>
      <c r="C77" s="12"/>
      <c r="D77" s="12"/>
      <c r="E77" s="12"/>
      <c r="F77" s="12"/>
      <c r="G77" s="12"/>
      <c r="H77" s="12"/>
      <c r="I77" s="12"/>
    </row>
    <row r="78" spans="1:9" ht="17">
      <c r="A78" s="12"/>
      <c r="B78" s="12"/>
      <c r="C78" s="12"/>
      <c r="D78" s="12"/>
      <c r="E78" s="12"/>
      <c r="F78" s="12"/>
      <c r="G78" s="12"/>
      <c r="H78" s="12"/>
      <c r="I78" s="12"/>
    </row>
    <row r="79" spans="1:9" ht="17">
      <c r="A79" s="12"/>
      <c r="B79" s="12"/>
      <c r="C79" s="12"/>
      <c r="D79" s="12"/>
      <c r="E79" s="12"/>
      <c r="F79" s="12"/>
      <c r="G79" s="12"/>
      <c r="H79" s="12"/>
      <c r="I79" s="12"/>
    </row>
    <row r="80" spans="1:9" ht="17">
      <c r="A80" s="12"/>
      <c r="B80" s="12"/>
      <c r="C80" s="12"/>
      <c r="D80" s="12"/>
      <c r="E80" s="12"/>
      <c r="F80" s="12"/>
      <c r="G80" s="12"/>
      <c r="H80" s="12"/>
      <c r="I80" s="12"/>
    </row>
    <row r="81" spans="1:9" ht="17">
      <c r="A81" s="12"/>
      <c r="B81" s="12"/>
      <c r="C81" s="12"/>
      <c r="D81" s="12"/>
      <c r="E81" s="12"/>
      <c r="F81" s="12"/>
      <c r="G81" s="12"/>
      <c r="H81" s="12"/>
      <c r="I81" s="12"/>
    </row>
    <row r="82" spans="1:9" ht="17">
      <c r="A82" s="12"/>
      <c r="B82" s="12"/>
      <c r="C82" s="12"/>
      <c r="D82" s="12"/>
      <c r="E82" s="12"/>
      <c r="F82" s="12"/>
      <c r="G82" s="12"/>
      <c r="H82" s="12"/>
      <c r="I82" s="12"/>
    </row>
    <row r="83" spans="1:9" ht="17">
      <c r="A83" s="12"/>
      <c r="B83" s="12"/>
      <c r="C83" s="12"/>
      <c r="D83" s="12"/>
      <c r="E83" s="12"/>
      <c r="F83" s="12"/>
      <c r="G83" s="12"/>
      <c r="H83" s="12"/>
      <c r="I83" s="12"/>
    </row>
    <row r="84" spans="1:9" ht="17">
      <c r="A84" s="12"/>
      <c r="B84" s="12"/>
      <c r="C84" s="12"/>
      <c r="D84" s="12"/>
      <c r="E84" s="12"/>
      <c r="F84" s="12"/>
      <c r="G84" s="12"/>
      <c r="H84" s="12"/>
      <c r="I84" s="12"/>
    </row>
    <row r="85" spans="1:9" ht="17">
      <c r="A85" s="12"/>
      <c r="B85" s="12"/>
      <c r="C85" s="12"/>
      <c r="D85" s="12"/>
      <c r="E85" s="12"/>
      <c r="F85" s="12"/>
      <c r="G85" s="12"/>
      <c r="H85" s="12"/>
      <c r="I85" s="12"/>
    </row>
    <row r="86" spans="1:9" ht="17">
      <c r="A86" s="12"/>
      <c r="B86" s="12"/>
      <c r="C86" s="12"/>
      <c r="D86" s="12"/>
      <c r="E86" s="12"/>
      <c r="F86" s="12"/>
      <c r="G86" s="12"/>
      <c r="H86" s="12"/>
      <c r="I86" s="12"/>
    </row>
    <row r="87" spans="1:9" ht="17">
      <c r="A87" s="12"/>
      <c r="B87" s="12"/>
      <c r="C87" s="12"/>
      <c r="D87" s="12"/>
      <c r="E87" s="12"/>
      <c r="F87" s="12"/>
      <c r="G87" s="12"/>
      <c r="H87" s="12"/>
      <c r="I87" s="12"/>
    </row>
    <row r="88" spans="1:9" ht="17">
      <c r="A88" s="12"/>
      <c r="B88" s="12"/>
      <c r="C88" s="12"/>
      <c r="D88" s="12"/>
      <c r="E88" s="12"/>
      <c r="F88" s="12"/>
      <c r="G88" s="12"/>
      <c r="H88" s="12"/>
      <c r="I88" s="12"/>
    </row>
    <row r="89" spans="1:9" ht="17">
      <c r="A89" s="12"/>
      <c r="B89" s="12"/>
      <c r="C89" s="12"/>
      <c r="D89" s="12"/>
      <c r="E89" s="12"/>
      <c r="F89" s="12"/>
      <c r="G89" s="12"/>
      <c r="H89" s="12"/>
      <c r="I89" s="12"/>
    </row>
    <row r="90" spans="1:9" ht="17">
      <c r="A90" s="12"/>
      <c r="B90" s="12"/>
      <c r="C90" s="12"/>
      <c r="D90" s="12"/>
      <c r="E90" s="12"/>
      <c r="F90" s="12"/>
      <c r="G90" s="12"/>
      <c r="H90" s="12"/>
      <c r="I90" s="12"/>
    </row>
    <row r="91" spans="1:9" ht="17">
      <c r="A91" s="12"/>
      <c r="B91" s="12"/>
      <c r="C91" s="12"/>
      <c r="D91" s="12"/>
      <c r="E91" s="12"/>
      <c r="F91" s="12"/>
      <c r="G91" s="12"/>
      <c r="H91" s="12"/>
      <c r="I91" s="12"/>
    </row>
    <row r="92" spans="1:9" ht="17">
      <c r="A92" s="12"/>
      <c r="B92" s="12"/>
      <c r="C92" s="12"/>
      <c r="D92" s="12"/>
      <c r="E92" s="12"/>
      <c r="F92" s="12"/>
      <c r="G92" s="12"/>
      <c r="H92" s="12"/>
      <c r="I92" s="12"/>
    </row>
    <row r="93" spans="1:9" ht="17">
      <c r="A93" s="12"/>
      <c r="B93" s="12"/>
      <c r="C93" s="12"/>
      <c r="D93" s="12"/>
      <c r="E93" s="12"/>
      <c r="F93" s="12"/>
      <c r="G93" s="12"/>
      <c r="H93" s="12"/>
      <c r="I93" s="12"/>
    </row>
    <row r="94" spans="1:9" ht="17">
      <c r="A94" s="12"/>
      <c r="B94" s="12"/>
      <c r="C94" s="12"/>
      <c r="D94" s="12"/>
      <c r="E94" s="12"/>
      <c r="F94" s="12"/>
      <c r="G94" s="12"/>
      <c r="H94" s="12"/>
      <c r="I94" s="12"/>
    </row>
    <row r="95" spans="1:9" ht="17">
      <c r="A95" s="12"/>
      <c r="B95" s="12"/>
      <c r="C95" s="12"/>
      <c r="D95" s="12"/>
      <c r="E95" s="12"/>
      <c r="F95" s="12"/>
      <c r="G95" s="12"/>
      <c r="H95" s="12"/>
      <c r="I95" s="12"/>
    </row>
    <row r="96" spans="1:9" ht="17">
      <c r="A96" s="12"/>
      <c r="B96" s="12"/>
      <c r="C96" s="12"/>
      <c r="D96" s="12"/>
      <c r="E96" s="12"/>
      <c r="F96" s="12"/>
      <c r="G96" s="12"/>
      <c r="H96" s="12"/>
      <c r="I96" s="12"/>
    </row>
    <row r="97" spans="1:9" ht="17">
      <c r="A97" s="12"/>
      <c r="B97" s="12"/>
      <c r="C97" s="12"/>
      <c r="D97" s="12"/>
      <c r="E97" s="12"/>
      <c r="F97" s="12"/>
      <c r="G97" s="12"/>
      <c r="H97" s="12"/>
      <c r="I97" s="12"/>
    </row>
    <row r="98" spans="1:9" ht="17">
      <c r="A98" s="12"/>
      <c r="B98" s="12"/>
      <c r="C98" s="12"/>
      <c r="D98" s="12"/>
      <c r="E98" s="12"/>
      <c r="F98" s="12"/>
      <c r="G98" s="12"/>
      <c r="H98" s="12"/>
      <c r="I98" s="12"/>
    </row>
    <row r="99" spans="1:9" ht="17">
      <c r="A99" s="12"/>
      <c r="B99" s="12"/>
      <c r="C99" s="12"/>
      <c r="D99" s="12"/>
      <c r="E99" s="12"/>
      <c r="F99" s="12"/>
      <c r="G99" s="12"/>
      <c r="H99" s="12"/>
      <c r="I99" s="12"/>
    </row>
    <row r="100" spans="1:9" ht="17">
      <c r="A100" s="12"/>
      <c r="B100" s="12"/>
      <c r="C100" s="12"/>
      <c r="D100" s="12"/>
      <c r="E100" s="12"/>
      <c r="F100" s="12"/>
      <c r="G100" s="12"/>
      <c r="H100" s="12"/>
      <c r="I100" s="12"/>
    </row>
    <row r="101" spans="1:9" ht="17">
      <c r="A101" s="12"/>
      <c r="B101" s="12"/>
      <c r="C101" s="12"/>
      <c r="D101" s="12"/>
      <c r="E101" s="12"/>
      <c r="F101" s="12"/>
      <c r="G101" s="12"/>
      <c r="H101" s="12"/>
      <c r="I101" s="12"/>
    </row>
    <row r="102" spans="1:9" ht="17">
      <c r="A102" s="12"/>
      <c r="B102" s="12"/>
      <c r="C102" s="12"/>
      <c r="D102" s="12"/>
      <c r="E102" s="12"/>
      <c r="F102" s="12"/>
      <c r="G102" s="12"/>
      <c r="H102" s="12"/>
      <c r="I102" s="12"/>
    </row>
    <row r="103" spans="1:9" ht="17">
      <c r="A103" s="12"/>
      <c r="B103" s="12"/>
      <c r="C103" s="12"/>
      <c r="D103" s="12"/>
      <c r="E103" s="12"/>
      <c r="F103" s="12"/>
      <c r="G103" s="12"/>
      <c r="H103" s="12"/>
      <c r="I103" s="12"/>
    </row>
    <row r="104" spans="1:9" ht="17">
      <c r="A104" s="12"/>
      <c r="B104" s="12"/>
      <c r="C104" s="12"/>
      <c r="D104" s="12"/>
      <c r="E104" s="12"/>
      <c r="F104" s="12"/>
      <c r="G104" s="12"/>
      <c r="H104" s="12"/>
      <c r="I104" s="12"/>
    </row>
    <row r="105" spans="1:9" ht="17">
      <c r="A105" s="12"/>
      <c r="B105" s="12"/>
      <c r="C105" s="12"/>
      <c r="D105" s="12"/>
      <c r="E105" s="12"/>
      <c r="F105" s="12"/>
      <c r="G105" s="12"/>
      <c r="H105" s="12"/>
      <c r="I105" s="12"/>
    </row>
    <row r="106" spans="1:9" ht="17">
      <c r="A106" s="12"/>
      <c r="B106" s="12"/>
      <c r="C106" s="12"/>
      <c r="D106" s="12"/>
      <c r="E106" s="12"/>
      <c r="F106" s="12"/>
      <c r="G106" s="12"/>
      <c r="H106" s="12"/>
      <c r="I106" s="12"/>
    </row>
  </sheetData>
  <pageMargins left="0.25" right="0.25" top="0.75" bottom="0.75" header="0.3" footer="0.3"/>
  <pageSetup scale="48"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E18509-4469-4CA1-837E-28DCE856C1A1}">
  <sheetPr>
    <tabColor rgb="FF92D050"/>
  </sheetPr>
  <dimension ref="A1:N47"/>
  <sheetViews>
    <sheetView view="pageBreakPreview" zoomScale="60" zoomScaleNormal="80" workbookViewId="0">
      <selection activeCell="G47" sqref="G47"/>
    </sheetView>
  </sheetViews>
  <sheetFormatPr defaultRowHeight="14.5"/>
  <cols>
    <col min="1" max="1" width="21.54296875" customWidth="1"/>
    <col min="2" max="2" width="45.7265625" customWidth="1"/>
    <col min="3" max="3" width="20.81640625" customWidth="1"/>
    <col min="4" max="4" width="21.1796875" customWidth="1"/>
    <col min="5" max="5" width="26.1796875" customWidth="1"/>
    <col min="6" max="6" width="30.54296875" customWidth="1"/>
    <col min="7" max="7" width="17.81640625" customWidth="1"/>
    <col min="8" max="9" width="27.81640625" customWidth="1"/>
    <col min="10" max="10" width="17" customWidth="1"/>
    <col min="11" max="11" width="4.453125" customWidth="1"/>
    <col min="12" max="12" width="22.7265625" customWidth="1"/>
    <col min="13" max="13" width="17.26953125" customWidth="1"/>
  </cols>
  <sheetData>
    <row r="1" spans="1:14" ht="25.5">
      <c r="A1" s="23" t="s">
        <v>1</v>
      </c>
      <c r="C1" s="12"/>
      <c r="D1" s="12"/>
      <c r="E1" s="12"/>
      <c r="F1" s="12"/>
      <c r="G1" s="12"/>
      <c r="H1" s="12"/>
      <c r="I1" s="12"/>
      <c r="J1" s="12"/>
      <c r="K1" s="12"/>
      <c r="L1" s="12"/>
      <c r="M1" s="12"/>
      <c r="N1" s="12"/>
    </row>
    <row r="2" spans="1:14" ht="17.5">
      <c r="A2" s="62" t="s">
        <v>9</v>
      </c>
      <c r="C2" s="12"/>
      <c r="D2" s="12"/>
      <c r="E2" s="12"/>
      <c r="F2" s="12"/>
      <c r="G2" s="12"/>
      <c r="H2" s="12"/>
      <c r="I2" s="12"/>
      <c r="J2" s="12"/>
      <c r="K2" s="12"/>
      <c r="L2" s="12"/>
      <c r="M2" s="12"/>
      <c r="N2" s="12"/>
    </row>
    <row r="3" spans="1:14" ht="17">
      <c r="A3" s="25" t="s">
        <v>452</v>
      </c>
      <c r="C3" s="12"/>
      <c r="D3" s="12"/>
      <c r="E3" s="12"/>
      <c r="F3" s="12"/>
      <c r="G3" s="12"/>
      <c r="H3" s="12"/>
      <c r="I3" s="12"/>
      <c r="J3" s="12"/>
      <c r="K3" s="12"/>
      <c r="L3" s="12"/>
      <c r="M3" s="12"/>
      <c r="N3" s="12"/>
    </row>
    <row r="4" spans="1:14" ht="17">
      <c r="A4" s="12"/>
      <c r="C4" s="12"/>
      <c r="D4" s="12"/>
      <c r="E4" s="26" t="s">
        <v>0</v>
      </c>
      <c r="F4" s="12"/>
      <c r="G4" s="12"/>
      <c r="H4" s="12"/>
      <c r="I4" s="12"/>
      <c r="J4" s="12"/>
      <c r="K4" s="12"/>
      <c r="L4" s="12"/>
      <c r="M4" s="12"/>
      <c r="N4" s="12"/>
    </row>
    <row r="5" spans="1:14" ht="18" thickBot="1">
      <c r="A5" s="62"/>
      <c r="C5" s="12"/>
      <c r="D5" s="12"/>
      <c r="E5" s="12"/>
      <c r="F5" s="12"/>
      <c r="G5" s="12"/>
      <c r="H5" s="12"/>
      <c r="I5" s="12"/>
      <c r="J5" s="12"/>
      <c r="K5" s="12"/>
      <c r="L5" s="12"/>
      <c r="M5" s="12"/>
      <c r="N5" s="12"/>
    </row>
    <row r="6" spans="1:14" ht="21.5" thickBot="1">
      <c r="A6" s="27" t="str">
        <f>+'S&amp;D'!A12</f>
        <v>Water Utility Companies (Private)</v>
      </c>
      <c r="B6" s="199"/>
      <c r="C6" s="12"/>
      <c r="D6" s="12"/>
      <c r="E6" s="12"/>
      <c r="F6" s="12"/>
      <c r="G6" s="12"/>
      <c r="H6" s="12"/>
    </row>
    <row r="7" spans="1:14" ht="18" thickBot="1">
      <c r="A7" s="62"/>
      <c r="C7" s="28"/>
      <c r="D7" s="28"/>
      <c r="E7" s="28"/>
      <c r="F7" s="28"/>
      <c r="G7" s="28"/>
      <c r="H7" s="12"/>
    </row>
    <row r="8" spans="1:14" ht="25.5">
      <c r="C8" s="12"/>
      <c r="D8" s="12"/>
      <c r="E8" s="31" t="s">
        <v>388</v>
      </c>
      <c r="F8" s="12"/>
      <c r="G8" s="12"/>
      <c r="H8" s="12"/>
    </row>
    <row r="9" spans="1:14" ht="21.5" thickBot="1">
      <c r="B9" s="30"/>
      <c r="C9" s="28"/>
      <c r="D9" s="28"/>
      <c r="E9" s="32" t="s">
        <v>453</v>
      </c>
      <c r="F9" s="28"/>
      <c r="G9" s="28"/>
      <c r="H9" s="12"/>
    </row>
    <row r="10" spans="1:14" ht="17.5" thickBot="1">
      <c r="B10" s="33" t="s">
        <v>0</v>
      </c>
      <c r="C10" s="33" t="s">
        <v>0</v>
      </c>
      <c r="D10" s="33" t="s">
        <v>0</v>
      </c>
      <c r="E10" s="33" t="s">
        <v>0</v>
      </c>
      <c r="F10" s="33" t="s">
        <v>0</v>
      </c>
      <c r="G10" s="33" t="s">
        <v>0</v>
      </c>
      <c r="H10" s="28"/>
      <c r="I10" s="158"/>
      <c r="J10" s="158"/>
    </row>
    <row r="11" spans="1:14" ht="17">
      <c r="B11" s="34" t="s">
        <v>0</v>
      </c>
      <c r="C11" s="34" t="s">
        <v>3</v>
      </c>
      <c r="D11" s="34" t="s">
        <v>368</v>
      </c>
      <c r="E11" s="382" t="s">
        <v>369</v>
      </c>
      <c r="F11" s="34" t="s">
        <v>233</v>
      </c>
      <c r="G11" s="34" t="s">
        <v>26</v>
      </c>
      <c r="H11" s="382" t="s">
        <v>393</v>
      </c>
      <c r="I11" s="34" t="s">
        <v>393</v>
      </c>
      <c r="J11" s="34" t="s">
        <v>26</v>
      </c>
    </row>
    <row r="12" spans="1:14" ht="17.5" thickBot="1">
      <c r="B12" s="36" t="s">
        <v>2</v>
      </c>
      <c r="C12" s="36" t="s">
        <v>4</v>
      </c>
      <c r="D12" s="36" t="s">
        <v>27</v>
      </c>
      <c r="E12" s="383" t="s">
        <v>168</v>
      </c>
      <c r="F12" s="36" t="s">
        <v>390</v>
      </c>
      <c r="G12" s="36" t="s">
        <v>29</v>
      </c>
      <c r="H12" s="383" t="s">
        <v>389</v>
      </c>
      <c r="I12" s="36" t="s">
        <v>28</v>
      </c>
      <c r="J12" s="36" t="s">
        <v>29</v>
      </c>
    </row>
    <row r="13" spans="1:14" ht="15">
      <c r="B13" s="38" t="s">
        <v>0</v>
      </c>
      <c r="C13" s="38" t="s">
        <v>0</v>
      </c>
      <c r="D13" s="39" t="s">
        <v>112</v>
      </c>
      <c r="E13" s="384" t="s">
        <v>113</v>
      </c>
      <c r="F13" s="38" t="s">
        <v>0</v>
      </c>
      <c r="G13" s="38" t="s">
        <v>0</v>
      </c>
      <c r="H13" s="384" t="s">
        <v>113</v>
      </c>
      <c r="I13" s="38" t="s">
        <v>0</v>
      </c>
      <c r="J13" s="38" t="s">
        <v>0</v>
      </c>
    </row>
    <row r="14" spans="1:14" ht="17">
      <c r="B14" s="34"/>
      <c r="C14" s="34"/>
      <c r="D14" s="34"/>
      <c r="E14" s="385"/>
      <c r="F14" s="34"/>
      <c r="G14" s="34"/>
      <c r="H14" s="385"/>
      <c r="I14" s="34"/>
      <c r="J14" s="34"/>
    </row>
    <row r="15" spans="1:14" ht="17">
      <c r="B15" s="12"/>
      <c r="C15" s="12"/>
      <c r="D15" s="12"/>
      <c r="E15" s="381"/>
      <c r="F15" s="12"/>
      <c r="G15" s="12"/>
      <c r="H15" s="381"/>
      <c r="I15" s="12"/>
      <c r="J15" s="12"/>
    </row>
    <row r="16" spans="1:14" ht="17.5">
      <c r="B16" s="62" t="str">
        <f>+'S&amp;D'!A22</f>
        <v>American States Water Company</v>
      </c>
      <c r="C16" s="91" t="str">
        <f>+'S&amp;D'!B22</f>
        <v>AWR</v>
      </c>
      <c r="D16" s="194">
        <f>+'S&amp;D'!G22</f>
        <v>80.42</v>
      </c>
      <c r="E16" s="386">
        <v>16.350000000000001</v>
      </c>
      <c r="F16" s="73">
        <f>D16/E16</f>
        <v>4.9186544342507643</v>
      </c>
      <c r="G16" s="56">
        <f t="shared" ref="G16:G21" si="0">1/F16</f>
        <v>0.20330763491668741</v>
      </c>
      <c r="H16" s="386">
        <v>20.95</v>
      </c>
      <c r="I16" s="73">
        <f>D16/H16</f>
        <v>3.8386634844868737</v>
      </c>
      <c r="J16" s="56">
        <f t="shared" ref="J16:J21" si="1">1/I16</f>
        <v>0.2605073364834618</v>
      </c>
    </row>
    <row r="17" spans="1:10" ht="17.5">
      <c r="B17" s="62" t="str">
        <f>+'S&amp;D'!A23</f>
        <v>American Water Works Company Inc</v>
      </c>
      <c r="C17" s="91" t="str">
        <f>+'S&amp;D'!B23</f>
        <v>AWK</v>
      </c>
      <c r="D17" s="194">
        <f>+'S&amp;D'!G23</f>
        <v>131.99</v>
      </c>
      <c r="E17" s="386">
        <v>21.45</v>
      </c>
      <c r="F17" s="73">
        <f t="shared" ref="F17:F21" si="2">D17/E17</f>
        <v>6.1533799533799538</v>
      </c>
      <c r="G17" s="56">
        <f t="shared" si="0"/>
        <v>0.16251231153875292</v>
      </c>
      <c r="H17" s="386">
        <v>50.95</v>
      </c>
      <c r="I17" s="73">
        <f t="shared" ref="I17:I21" si="3">D17/H17</f>
        <v>2.5905789990186459</v>
      </c>
      <c r="J17" s="56">
        <f t="shared" si="1"/>
        <v>0.38601409197666486</v>
      </c>
    </row>
    <row r="18" spans="1:10" ht="17.5">
      <c r="B18" s="62" t="str">
        <f>+'S&amp;D'!A24</f>
        <v xml:space="preserve">California Water Service Group </v>
      </c>
      <c r="C18" s="91" t="str">
        <f>+'S&amp;D'!B24</f>
        <v>CWT</v>
      </c>
      <c r="D18" s="194">
        <f>+'S&amp;D'!G24</f>
        <v>51.87</v>
      </c>
      <c r="E18" s="386">
        <v>13.95</v>
      </c>
      <c r="F18" s="73">
        <f t="shared" si="2"/>
        <v>3.7182795698924731</v>
      </c>
      <c r="G18" s="56">
        <f t="shared" si="0"/>
        <v>0.26894158473105839</v>
      </c>
      <c r="H18" s="386">
        <v>24.9</v>
      </c>
      <c r="I18" s="73">
        <f t="shared" si="3"/>
        <v>2.0831325301204822</v>
      </c>
      <c r="J18" s="56">
        <f t="shared" si="1"/>
        <v>0.48004626951995366</v>
      </c>
    </row>
    <row r="19" spans="1:10" ht="17.5">
      <c r="B19" s="62" t="str">
        <f>+'S&amp;D'!A25</f>
        <v>Essential Utilities, Inc.</v>
      </c>
      <c r="C19" s="91" t="str">
        <f>+'S&amp;D'!B25</f>
        <v>WTRG</v>
      </c>
      <c r="D19" s="194">
        <f>+'S&amp;D'!G25</f>
        <v>37.35</v>
      </c>
      <c r="E19" s="386">
        <v>8.3000000000000007</v>
      </c>
      <c r="F19" s="73">
        <f>D19/E19</f>
        <v>4.5</v>
      </c>
      <c r="G19" s="56">
        <f t="shared" si="0"/>
        <v>0.22222222222222221</v>
      </c>
      <c r="H19" s="386">
        <v>21.85</v>
      </c>
      <c r="I19" s="73">
        <f t="shared" si="3"/>
        <v>1.7093821510297482</v>
      </c>
      <c r="J19" s="56">
        <f t="shared" si="1"/>
        <v>0.58500669344042844</v>
      </c>
    </row>
    <row r="20" spans="1:10" ht="17.5">
      <c r="B20" s="62" t="str">
        <f>+'S&amp;D'!A26</f>
        <v>Middlesex Water Company</v>
      </c>
      <c r="C20" s="91" t="str">
        <f>+'S&amp;D'!B26</f>
        <v>MSEX</v>
      </c>
      <c r="D20" s="194">
        <f>+'S&amp;D'!G26</f>
        <v>65.62</v>
      </c>
      <c r="E20" s="386">
        <v>9.5</v>
      </c>
      <c r="F20" s="73">
        <f t="shared" si="2"/>
        <v>6.9073684210526318</v>
      </c>
      <c r="G20" s="56">
        <f t="shared" si="0"/>
        <v>0.14477293508076805</v>
      </c>
      <c r="H20" s="386">
        <v>23.55</v>
      </c>
      <c r="I20" s="73">
        <f t="shared" si="3"/>
        <v>2.7864118895966032</v>
      </c>
      <c r="J20" s="56">
        <f t="shared" si="1"/>
        <v>0.35888448643706183</v>
      </c>
    </row>
    <row r="21" spans="1:10" ht="17.5">
      <c r="B21" s="62" t="str">
        <f>+'S&amp;D'!A27</f>
        <v>SJW Corporation</v>
      </c>
      <c r="C21" s="91" t="str">
        <f>+'S&amp;D'!B27</f>
        <v>SJW</v>
      </c>
      <c r="D21" s="194">
        <f>+'S&amp;D'!G27</f>
        <v>65.650000000000006</v>
      </c>
      <c r="E21" s="386">
        <v>20.652000000000001</v>
      </c>
      <c r="F21" s="73">
        <f t="shared" si="2"/>
        <v>3.1788688746852607</v>
      </c>
      <c r="G21" s="56">
        <f t="shared" si="0"/>
        <v>0.31457730388423455</v>
      </c>
      <c r="H21" s="386">
        <v>38.299999999999997</v>
      </c>
      <c r="I21" s="73">
        <f t="shared" si="3"/>
        <v>1.7140992167101829</v>
      </c>
      <c r="J21" s="56">
        <f t="shared" si="1"/>
        <v>0.58339680121858328</v>
      </c>
    </row>
    <row r="22" spans="1:10" ht="17.5" thickBot="1">
      <c r="B22" s="12"/>
      <c r="C22" s="70"/>
      <c r="D22" s="70"/>
      <c r="E22" s="387"/>
      <c r="F22" s="70"/>
      <c r="G22" s="70"/>
      <c r="H22" s="387"/>
      <c r="I22" s="70"/>
      <c r="J22" s="70"/>
    </row>
    <row r="23" spans="1:10" ht="17.5" thickTop="1">
      <c r="B23" s="12"/>
      <c r="D23" s="14" t="s">
        <v>45</v>
      </c>
      <c r="E23" s="388">
        <f>MAX(E16:E21)</f>
        <v>21.45</v>
      </c>
      <c r="F23" s="71">
        <f t="shared" ref="F23:J23" si="4">MAX(F16:F21)</f>
        <v>6.9073684210526318</v>
      </c>
      <c r="G23" s="339">
        <f t="shared" si="4"/>
        <v>0.31457730388423455</v>
      </c>
      <c r="H23" s="388">
        <f t="shared" si="4"/>
        <v>50.95</v>
      </c>
      <c r="I23" s="71">
        <f t="shared" si="4"/>
        <v>3.8386634844868737</v>
      </c>
      <c r="J23" s="339">
        <f t="shared" si="4"/>
        <v>0.58500669344042844</v>
      </c>
    </row>
    <row r="24" spans="1:10" ht="17">
      <c r="B24" s="12"/>
      <c r="D24" s="14" t="s">
        <v>46</v>
      </c>
      <c r="E24" s="389">
        <f>MIN(E16:E21)</f>
        <v>8.3000000000000007</v>
      </c>
      <c r="F24" s="366">
        <f t="shared" ref="F24:J24" si="5">MIN(F16:F21)</f>
        <v>3.1788688746852607</v>
      </c>
      <c r="G24" s="367">
        <f t="shared" si="5"/>
        <v>0.14477293508076805</v>
      </c>
      <c r="H24" s="389">
        <f t="shared" si="5"/>
        <v>20.95</v>
      </c>
      <c r="I24" s="366">
        <f t="shared" si="5"/>
        <v>1.7093821510297482</v>
      </c>
      <c r="J24" s="367">
        <f t="shared" si="5"/>
        <v>0.2605073364834618</v>
      </c>
    </row>
    <row r="25" spans="1:10" ht="17">
      <c r="B25" s="12"/>
      <c r="D25" s="14" t="s">
        <v>18</v>
      </c>
      <c r="E25" s="21">
        <f t="shared" ref="E25" si="6">MEDIAN(E16:E21)</f>
        <v>15.15</v>
      </c>
      <c r="F25" s="21">
        <f t="shared" ref="F25:J25" si="7">MEDIAN(F16:F21)</f>
        <v>4.7093272171253826</v>
      </c>
      <c r="G25" s="56">
        <f t="shared" si="7"/>
        <v>0.21276492856945481</v>
      </c>
      <c r="H25" s="21">
        <f t="shared" ref="H25" si="8">MEDIAN(H16:H21)</f>
        <v>24.225000000000001</v>
      </c>
      <c r="I25" s="21">
        <f t="shared" si="7"/>
        <v>2.336855764569564</v>
      </c>
      <c r="J25" s="56">
        <f t="shared" si="7"/>
        <v>0.43303018074830923</v>
      </c>
    </row>
    <row r="26" spans="1:10" ht="17">
      <c r="B26" s="12"/>
      <c r="D26" s="14" t="s">
        <v>409</v>
      </c>
      <c r="E26" s="21">
        <f t="shared" ref="E26" si="9">AVERAGE(E16:E21)</f>
        <v>15.033666666666667</v>
      </c>
      <c r="F26" s="21">
        <f t="shared" ref="F26:J26" si="10">AVERAGE(F16:F21)</f>
        <v>4.8960918755435143</v>
      </c>
      <c r="G26" s="74">
        <f t="shared" si="10"/>
        <v>0.2193889987289539</v>
      </c>
      <c r="H26" s="21">
        <f t="shared" ref="H26" si="11">AVERAGE(H16:H21)</f>
        <v>30.083333333333332</v>
      </c>
      <c r="I26" s="21">
        <f t="shared" si="10"/>
        <v>2.4537113784937561</v>
      </c>
      <c r="J26" s="74">
        <f t="shared" si="10"/>
        <v>0.44230927984602558</v>
      </c>
    </row>
    <row r="27" spans="1:10" ht="17.5" thickBot="1">
      <c r="B27" s="12"/>
      <c r="C27" s="12"/>
      <c r="D27" s="12"/>
      <c r="E27" s="12"/>
      <c r="F27" s="12"/>
      <c r="G27" s="12"/>
      <c r="H27" s="12"/>
      <c r="I27" s="12"/>
      <c r="J27" s="12"/>
    </row>
    <row r="28" spans="1:10" ht="26" thickBot="1">
      <c r="B28" s="76" t="s">
        <v>0</v>
      </c>
      <c r="C28" s="12"/>
      <c r="D28" s="23" t="s">
        <v>123</v>
      </c>
      <c r="E28" s="23"/>
      <c r="F28" s="253">
        <v>4.9000000000000004</v>
      </c>
      <c r="H28" s="23"/>
      <c r="I28" s="253">
        <v>2.4500000000000002</v>
      </c>
    </row>
    <row r="29" spans="1:10" ht="17">
      <c r="B29" s="76" t="s">
        <v>0</v>
      </c>
      <c r="C29" s="12"/>
      <c r="D29" s="12"/>
      <c r="E29" s="12"/>
      <c r="F29" s="12"/>
      <c r="G29" s="12"/>
      <c r="H29" s="12"/>
    </row>
    <row r="30" spans="1:10" ht="17">
      <c r="B30" s="76"/>
      <c r="C30" s="12"/>
      <c r="D30" s="12"/>
      <c r="E30" s="12"/>
      <c r="F30" s="12"/>
      <c r="G30" s="12"/>
      <c r="H30" s="12"/>
    </row>
    <row r="31" spans="1:10" ht="17.5">
      <c r="A31" s="107" t="s">
        <v>392</v>
      </c>
      <c r="B31" s="76"/>
      <c r="C31" s="12"/>
      <c r="D31" s="12"/>
      <c r="E31" s="12"/>
      <c r="F31" s="12"/>
      <c r="G31" s="12"/>
      <c r="H31" s="12"/>
    </row>
    <row r="32" spans="1:10" ht="17.5">
      <c r="A32" s="107" t="s">
        <v>373</v>
      </c>
      <c r="B32" s="76"/>
      <c r="C32" s="12"/>
      <c r="D32" s="12"/>
      <c r="E32" s="12"/>
      <c r="F32" s="12"/>
      <c r="G32" s="12"/>
      <c r="H32" s="12"/>
    </row>
    <row r="33" spans="1:8" ht="17">
      <c r="B33" s="76"/>
      <c r="C33" s="12"/>
      <c r="D33" s="12"/>
      <c r="E33" s="12"/>
      <c r="F33" s="12"/>
      <c r="G33" s="12"/>
      <c r="H33" s="12"/>
    </row>
    <row r="34" spans="1:8" ht="17.5">
      <c r="A34" s="107" t="s">
        <v>391</v>
      </c>
      <c r="B34" s="76"/>
      <c r="C34" s="12"/>
      <c r="D34" s="12"/>
      <c r="E34" s="12"/>
      <c r="F34" s="12"/>
      <c r="G34" s="12"/>
      <c r="H34" s="12"/>
    </row>
    <row r="35" spans="1:8" ht="17.5">
      <c r="A35" s="107" t="s">
        <v>371</v>
      </c>
      <c r="B35" s="76"/>
      <c r="C35" s="12"/>
      <c r="D35" s="12"/>
      <c r="E35" s="12"/>
      <c r="F35" s="12"/>
      <c r="G35" s="12"/>
      <c r="H35" s="12"/>
    </row>
    <row r="36" spans="1:8" ht="17.5">
      <c r="A36" s="107" t="s">
        <v>372</v>
      </c>
    </row>
    <row r="45" spans="1:8" ht="17.5">
      <c r="A45" s="107"/>
      <c r="B45" s="295"/>
      <c r="C45" s="294" t="s">
        <v>0</v>
      </c>
    </row>
    <row r="46" spans="1:8" ht="17.5">
      <c r="C46" s="294" t="s">
        <v>0</v>
      </c>
    </row>
    <row r="47" spans="1:8" ht="17.5">
      <c r="C47" s="294" t="s">
        <v>0</v>
      </c>
    </row>
  </sheetData>
  <pageMargins left="0.25" right="0.25" top="0.75" bottom="0.75" header="0.3" footer="0.3"/>
  <pageSetup scale="41" orientation="landscape" r:id="rId1"/>
  <rowBreaks count="1" manualBreakCount="1">
    <brk id="36"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K31"/>
  <sheetViews>
    <sheetView view="pageBreakPreview" topLeftCell="A5" zoomScale="80" zoomScaleNormal="80" zoomScaleSheetLayoutView="80" workbookViewId="0">
      <selection activeCell="D33" sqref="D33"/>
    </sheetView>
  </sheetViews>
  <sheetFormatPr defaultRowHeight="14.5"/>
  <cols>
    <col min="1" max="1" width="22.26953125" customWidth="1"/>
    <col min="2" max="2" width="39.7265625" customWidth="1"/>
    <col min="3" max="3" width="16.81640625" customWidth="1"/>
    <col min="4" max="4" width="35.26953125" customWidth="1"/>
    <col min="5" max="5" width="18" customWidth="1"/>
    <col min="6" max="6" width="20.81640625" bestFit="1" customWidth="1"/>
    <col min="7" max="7" width="22" customWidth="1"/>
    <col min="8" max="8" width="23.7265625" customWidth="1"/>
  </cols>
  <sheetData>
    <row r="1" spans="1:11" ht="25.5">
      <c r="A1" s="23" t="s">
        <v>1</v>
      </c>
      <c r="C1" s="12"/>
      <c r="D1" s="12"/>
      <c r="E1" s="12"/>
      <c r="F1" s="12"/>
      <c r="G1" s="12"/>
      <c r="H1" s="12"/>
      <c r="I1" s="12"/>
      <c r="J1" s="12"/>
      <c r="K1" s="12"/>
    </row>
    <row r="2" spans="1:11" ht="17.5">
      <c r="A2" s="24" t="s">
        <v>9</v>
      </c>
      <c r="C2" s="12"/>
      <c r="D2" s="12"/>
      <c r="E2" s="12"/>
      <c r="F2" s="12"/>
      <c r="G2" s="12"/>
      <c r="H2" s="12"/>
      <c r="I2" s="12"/>
      <c r="J2" s="12"/>
      <c r="K2" s="12"/>
    </row>
    <row r="3" spans="1:11" ht="17.25" customHeight="1">
      <c r="A3" s="25" t="s">
        <v>452</v>
      </c>
      <c r="C3" s="12"/>
      <c r="D3" s="12"/>
      <c r="E3" s="12"/>
      <c r="F3" s="12"/>
      <c r="G3" s="12"/>
      <c r="H3" s="12"/>
      <c r="I3" s="12"/>
      <c r="J3" s="12"/>
      <c r="K3" s="12"/>
    </row>
    <row r="4" spans="1:11" ht="17.25" customHeight="1">
      <c r="B4" s="25"/>
      <c r="C4" s="12"/>
      <c r="D4" s="12"/>
      <c r="E4" s="12"/>
      <c r="F4" s="12"/>
      <c r="G4" s="12"/>
      <c r="H4" s="12"/>
      <c r="I4" s="12"/>
      <c r="J4" s="12"/>
      <c r="K4" s="12"/>
    </row>
    <row r="5" spans="1:11" ht="17.25" customHeight="1">
      <c r="B5" s="152"/>
      <c r="C5" s="12"/>
      <c r="D5" s="12"/>
      <c r="E5" s="12"/>
      <c r="F5" s="12"/>
      <c r="G5" s="12"/>
      <c r="H5" s="12"/>
      <c r="I5" s="12"/>
      <c r="J5" s="12"/>
      <c r="K5" s="12"/>
    </row>
    <row r="6" spans="1:11" ht="17.25" customHeight="1">
      <c r="B6" s="152"/>
      <c r="C6" s="12"/>
      <c r="D6" s="12"/>
      <c r="E6" s="12"/>
      <c r="F6" s="12"/>
      <c r="G6" s="12"/>
      <c r="H6" s="12"/>
      <c r="I6" s="12"/>
      <c r="J6" s="12"/>
      <c r="K6" s="12"/>
    </row>
    <row r="7" spans="1:11" ht="17.25" customHeight="1">
      <c r="B7" s="152"/>
      <c r="C7" s="12"/>
      <c r="D7" s="12"/>
      <c r="E7" s="12"/>
      <c r="F7" s="12"/>
      <c r="G7" s="12"/>
      <c r="H7" s="12"/>
      <c r="I7" s="12"/>
      <c r="J7" s="12"/>
      <c r="K7" s="12"/>
    </row>
    <row r="8" spans="1:11" ht="17">
      <c r="B8" s="25"/>
      <c r="C8" s="12"/>
      <c r="D8" s="12"/>
      <c r="E8" s="12"/>
      <c r="F8" s="12"/>
      <c r="G8" s="12"/>
      <c r="H8" s="12"/>
      <c r="I8" s="12"/>
      <c r="J8" s="12"/>
      <c r="K8" s="12"/>
    </row>
    <row r="9" spans="1:11" ht="21">
      <c r="B9" s="12"/>
      <c r="C9" s="12"/>
      <c r="D9" s="79" t="s">
        <v>0</v>
      </c>
      <c r="E9" s="12"/>
      <c r="F9" s="12"/>
      <c r="G9" s="12"/>
      <c r="H9" s="12"/>
      <c r="I9" s="12"/>
      <c r="J9" s="12"/>
      <c r="K9" s="12"/>
    </row>
    <row r="10" spans="1:11" ht="21">
      <c r="B10" s="12"/>
      <c r="C10" s="12"/>
      <c r="D10" s="79" t="s">
        <v>63</v>
      </c>
      <c r="E10" s="12"/>
      <c r="F10" s="12"/>
      <c r="G10" s="12"/>
      <c r="H10" s="12"/>
      <c r="I10" s="12"/>
      <c r="J10" s="12"/>
      <c r="K10" s="12"/>
    </row>
    <row r="11" spans="1:11" ht="17">
      <c r="B11" s="12"/>
      <c r="C11" s="12"/>
      <c r="D11" s="12"/>
      <c r="E11" s="12"/>
      <c r="F11" s="12"/>
      <c r="G11" s="12"/>
      <c r="H11" s="12"/>
      <c r="I11" s="12"/>
      <c r="J11" s="12"/>
      <c r="K11" s="12"/>
    </row>
    <row r="12" spans="1:11" ht="17">
      <c r="B12" s="12"/>
      <c r="C12" s="12"/>
      <c r="D12" s="12"/>
      <c r="E12" s="12"/>
      <c r="F12" s="12"/>
      <c r="G12" s="12"/>
      <c r="H12" s="12"/>
      <c r="I12" s="12"/>
      <c r="J12" s="12"/>
      <c r="K12" s="12"/>
    </row>
    <row r="13" spans="1:11" ht="17">
      <c r="B13" s="12"/>
      <c r="C13" s="12"/>
      <c r="D13" s="12"/>
      <c r="E13" s="26"/>
      <c r="F13" s="12"/>
      <c r="G13" s="12"/>
      <c r="H13" s="12"/>
      <c r="I13" s="12"/>
      <c r="J13" s="12"/>
      <c r="K13" s="12"/>
    </row>
    <row r="14" spans="1:11" ht="17">
      <c r="B14" s="12"/>
      <c r="C14" s="12"/>
      <c r="D14" s="12"/>
      <c r="E14" s="12"/>
      <c r="F14" s="12"/>
      <c r="G14" s="12"/>
      <c r="H14" s="12"/>
      <c r="I14" s="12"/>
      <c r="J14" s="12"/>
      <c r="K14" s="12"/>
    </row>
    <row r="15" spans="1:11" ht="17.5" thickBot="1">
      <c r="B15" s="12"/>
      <c r="C15" s="28"/>
      <c r="D15" s="28"/>
      <c r="E15" s="28"/>
      <c r="F15" s="12"/>
      <c r="G15" s="12"/>
      <c r="H15" s="12"/>
      <c r="I15" s="12"/>
      <c r="J15" s="12"/>
      <c r="K15" s="12"/>
    </row>
    <row r="16" spans="1:11" ht="25.5">
      <c r="B16" s="12"/>
      <c r="C16" s="12"/>
      <c r="D16" s="31" t="str">
        <f>+'S&amp;D'!A12</f>
        <v>Water Utility Companies (Private)</v>
      </c>
      <c r="E16" s="12"/>
      <c r="F16" s="12"/>
      <c r="G16" s="12"/>
      <c r="H16" s="12"/>
      <c r="I16" s="12"/>
      <c r="J16" s="12"/>
      <c r="K16" s="12"/>
    </row>
    <row r="17" spans="2:11" ht="17.5" thickBot="1">
      <c r="B17" s="12"/>
      <c r="C17" s="28"/>
      <c r="D17" s="36" t="s">
        <v>0</v>
      </c>
      <c r="E17" s="28"/>
      <c r="F17" s="12"/>
      <c r="G17" s="12"/>
      <c r="H17" s="12"/>
      <c r="I17" s="12"/>
      <c r="J17" s="12"/>
      <c r="K17" s="12"/>
    </row>
    <row r="18" spans="2:11" ht="17.5" thickBot="1">
      <c r="B18" s="28"/>
      <c r="C18" s="28"/>
      <c r="D18" s="36" t="s">
        <v>0</v>
      </c>
      <c r="E18" s="28"/>
      <c r="F18" s="28"/>
      <c r="G18" s="28"/>
      <c r="H18" s="12"/>
      <c r="I18" s="12"/>
      <c r="J18" s="12"/>
      <c r="K18" s="12"/>
    </row>
    <row r="19" spans="2:11" ht="17">
      <c r="B19" s="34" t="s">
        <v>31</v>
      </c>
      <c r="C19" s="34" t="s">
        <v>32</v>
      </c>
      <c r="D19" s="34" t="s">
        <v>33</v>
      </c>
      <c r="E19" s="34" t="s">
        <v>67</v>
      </c>
      <c r="F19" s="34" t="s">
        <v>33</v>
      </c>
      <c r="G19" s="34" t="s">
        <v>34</v>
      </c>
      <c r="H19" s="12"/>
      <c r="I19" s="12"/>
      <c r="J19" s="12"/>
      <c r="K19" s="12"/>
    </row>
    <row r="20" spans="2:11" ht="17.5" thickBot="1">
      <c r="B20" s="36" t="s">
        <v>32</v>
      </c>
      <c r="C20" s="36" t="s">
        <v>35</v>
      </c>
      <c r="D20" s="36" t="s">
        <v>36</v>
      </c>
      <c r="E20" s="36" t="s">
        <v>23</v>
      </c>
      <c r="F20" s="36" t="s">
        <v>37</v>
      </c>
      <c r="G20" s="36" t="s">
        <v>38</v>
      </c>
      <c r="H20" s="12"/>
      <c r="I20" s="12"/>
      <c r="J20" s="12"/>
      <c r="K20" s="12"/>
    </row>
    <row r="21" spans="2:11" ht="17">
      <c r="B21" s="38" t="s">
        <v>0</v>
      </c>
      <c r="C21" s="38" t="s">
        <v>0</v>
      </c>
      <c r="D21" s="38" t="s">
        <v>0</v>
      </c>
      <c r="E21" s="38" t="s">
        <v>0</v>
      </c>
      <c r="F21" s="38" t="s">
        <v>0</v>
      </c>
      <c r="G21" s="38" t="s">
        <v>0</v>
      </c>
      <c r="H21" s="12"/>
      <c r="I21" s="12"/>
      <c r="J21" s="12"/>
      <c r="K21" s="12"/>
    </row>
    <row r="22" spans="2:11" ht="17">
      <c r="B22" s="34"/>
      <c r="C22" s="34"/>
      <c r="D22" s="34"/>
      <c r="E22" s="34"/>
      <c r="F22" s="34"/>
      <c r="G22" s="34"/>
      <c r="H22" s="12"/>
      <c r="I22" s="12"/>
      <c r="J22" s="12"/>
      <c r="K22" s="12"/>
    </row>
    <row r="23" spans="2:11" ht="17.5">
      <c r="B23" s="91" t="s">
        <v>39</v>
      </c>
      <c r="C23" s="144">
        <f>'S&amp;D'!I49</f>
        <v>0.71</v>
      </c>
      <c r="D23" s="144">
        <f>+'Indicated Yield Equity Rate'!D52</f>
        <v>8.4900000000000003E-2</v>
      </c>
      <c r="E23" s="104" t="s">
        <v>40</v>
      </c>
      <c r="F23" s="144">
        <f>+D23</f>
        <v>8.4900000000000003E-2</v>
      </c>
      <c r="G23" s="145">
        <f>+F23*C23</f>
        <v>6.0278999999999999E-2</v>
      </c>
      <c r="H23" s="12"/>
      <c r="I23" s="12"/>
      <c r="J23" s="12"/>
      <c r="K23" s="12"/>
    </row>
    <row r="24" spans="2:11" ht="17.5">
      <c r="B24" s="91" t="s">
        <v>0</v>
      </c>
      <c r="C24" s="104" t="s">
        <v>0</v>
      </c>
      <c r="D24" s="104" t="s">
        <v>0</v>
      </c>
      <c r="E24" s="104" t="s">
        <v>0</v>
      </c>
      <c r="F24" s="146" t="s">
        <v>0</v>
      </c>
      <c r="G24" s="128" t="s">
        <v>0</v>
      </c>
      <c r="H24" s="12"/>
      <c r="I24" s="12"/>
      <c r="J24" s="12"/>
      <c r="K24" s="12"/>
    </row>
    <row r="25" spans="2:11" ht="17.5">
      <c r="B25" s="91" t="s">
        <v>41</v>
      </c>
      <c r="C25" s="144">
        <f>'S&amp;D'!J49</f>
        <v>0.28999999999999998</v>
      </c>
      <c r="D25" s="144">
        <f>+'Yield Debt'!J28</f>
        <v>5.5100000000000003E-2</v>
      </c>
      <c r="E25" s="144">
        <v>0.26</v>
      </c>
      <c r="F25" s="144">
        <f>+D25*(1-E25)</f>
        <v>4.0774000000000005E-2</v>
      </c>
      <c r="G25" s="145">
        <f>+C25*F25</f>
        <v>1.182446E-2</v>
      </c>
      <c r="H25" s="12"/>
      <c r="I25" s="12"/>
      <c r="J25" s="12"/>
      <c r="K25" s="12"/>
    </row>
    <row r="26" spans="2:11" ht="18" thickBot="1">
      <c r="B26" s="97" t="s">
        <v>0</v>
      </c>
      <c r="C26" s="97" t="s">
        <v>0</v>
      </c>
      <c r="D26" s="97" t="s">
        <v>0</v>
      </c>
      <c r="E26" s="97" t="s">
        <v>0</v>
      </c>
      <c r="F26" s="147" t="s">
        <v>0</v>
      </c>
      <c r="G26" s="148" t="s">
        <v>0</v>
      </c>
      <c r="H26" s="12"/>
      <c r="I26" s="12"/>
      <c r="J26" s="12"/>
      <c r="K26" s="12"/>
    </row>
    <row r="27" spans="2:11" ht="17.5">
      <c r="B27" s="91" t="s">
        <v>70</v>
      </c>
      <c r="C27" s="149">
        <f>+C23+C25</f>
        <v>1</v>
      </c>
      <c r="D27" s="91" t="s">
        <v>0</v>
      </c>
      <c r="E27" s="91" t="s">
        <v>0</v>
      </c>
      <c r="F27" s="150" t="s">
        <v>0</v>
      </c>
      <c r="G27" s="145">
        <f>+G23+G25</f>
        <v>7.2103459999999994E-2</v>
      </c>
      <c r="H27" s="12"/>
      <c r="I27" s="12"/>
      <c r="J27" s="12"/>
      <c r="K27" s="12"/>
    </row>
    <row r="28" spans="2:11" ht="18" thickBot="1">
      <c r="B28" s="62"/>
      <c r="C28" s="62"/>
      <c r="D28" s="62"/>
      <c r="E28" s="62"/>
      <c r="F28" s="62"/>
      <c r="G28" s="151"/>
      <c r="H28" s="12"/>
      <c r="I28" s="12"/>
      <c r="J28" s="12"/>
      <c r="K28" s="12"/>
    </row>
    <row r="29" spans="2:11" ht="18" thickBot="1">
      <c r="B29" s="12"/>
      <c r="C29" s="12"/>
      <c r="D29" s="12"/>
      <c r="E29" s="12"/>
      <c r="F29" s="216" t="s">
        <v>73</v>
      </c>
      <c r="G29" s="330">
        <v>7.2099999999999997E-2</v>
      </c>
      <c r="H29" s="12"/>
      <c r="I29" s="12"/>
      <c r="J29" s="12"/>
      <c r="K29" s="12"/>
    </row>
    <row r="30" spans="2:11" ht="17">
      <c r="B30" s="12"/>
      <c r="C30" s="12"/>
      <c r="D30" s="12"/>
      <c r="E30" s="12"/>
      <c r="F30" s="12"/>
      <c r="G30" s="12"/>
      <c r="H30" s="12"/>
      <c r="I30" s="12"/>
      <c r="J30" s="12"/>
      <c r="K30" s="12"/>
    </row>
    <row r="31" spans="2:11" ht="17">
      <c r="B31" s="12"/>
      <c r="C31" s="12"/>
      <c r="D31" s="12"/>
      <c r="E31" s="12"/>
      <c r="F31" s="12"/>
      <c r="G31" s="12"/>
      <c r="H31" s="12"/>
      <c r="I31" s="12"/>
      <c r="J31" s="12"/>
      <c r="K31" s="12"/>
    </row>
  </sheetData>
  <pageMargins left="0.25" right="0.25" top="0.75" bottom="0.75" header="0.3" footer="0.3"/>
  <pageSetup scale="67"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
  <sheetViews>
    <sheetView workbookViewId="0">
      <selection activeCell="P9" sqref="P9"/>
    </sheetView>
  </sheetViews>
  <sheetFormatPr defaultRowHeight="14.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5631F-B284-4F75-B05C-C409AB53D71E}">
  <sheetPr>
    <tabColor rgb="FF92D050"/>
    <pageSetUpPr fitToPage="1"/>
  </sheetPr>
  <dimension ref="A1:K64"/>
  <sheetViews>
    <sheetView view="pageBreakPreview" topLeftCell="A10" zoomScale="80" zoomScaleNormal="80" zoomScaleSheetLayoutView="80" workbookViewId="0">
      <selection activeCell="G45" sqref="G45"/>
    </sheetView>
  </sheetViews>
  <sheetFormatPr defaultRowHeight="14.5"/>
  <cols>
    <col min="1" max="1" width="17.26953125" customWidth="1"/>
    <col min="2" max="2" width="31.7265625" customWidth="1"/>
    <col min="3" max="3" width="16.54296875" customWidth="1"/>
    <col min="4" max="4" width="35.26953125" customWidth="1"/>
    <col min="5" max="5" width="14.81640625" customWidth="1"/>
    <col min="6" max="6" width="25.81640625" customWidth="1"/>
    <col min="7" max="7" width="24.1796875" customWidth="1"/>
    <col min="8" max="8" width="17.7265625" customWidth="1"/>
  </cols>
  <sheetData>
    <row r="1" spans="1:11" ht="25.5">
      <c r="A1" s="23" t="s">
        <v>1</v>
      </c>
      <c r="C1" s="12"/>
      <c r="D1" s="12"/>
      <c r="E1" s="12"/>
      <c r="F1" s="12"/>
      <c r="G1" s="12"/>
      <c r="H1" s="12"/>
      <c r="I1" s="12"/>
      <c r="J1" s="12"/>
      <c r="K1" s="12"/>
    </row>
    <row r="2" spans="1:11" ht="17.5">
      <c r="A2" s="24" t="s">
        <v>9</v>
      </c>
      <c r="C2" s="12"/>
      <c r="D2" s="12"/>
      <c r="E2" s="12"/>
      <c r="F2" s="12"/>
      <c r="G2" s="12"/>
      <c r="H2" s="12"/>
      <c r="I2" s="12"/>
      <c r="J2" s="12"/>
      <c r="K2" s="12"/>
    </row>
    <row r="3" spans="1:11" ht="17">
      <c r="A3" s="25" t="s">
        <v>452</v>
      </c>
      <c r="C3" s="12"/>
      <c r="D3" s="12"/>
      <c r="E3" s="12"/>
      <c r="F3" s="12"/>
      <c r="G3" s="12"/>
      <c r="H3" s="12"/>
      <c r="I3" s="12"/>
      <c r="J3" s="12"/>
      <c r="K3" s="12"/>
    </row>
    <row r="4" spans="1:11" ht="17">
      <c r="B4" s="25"/>
      <c r="C4" s="12"/>
      <c r="D4" s="12"/>
      <c r="E4" s="12"/>
      <c r="F4" s="12"/>
      <c r="G4" s="12"/>
      <c r="H4" s="12"/>
      <c r="I4" s="12"/>
      <c r="J4" s="12"/>
      <c r="K4" s="12"/>
    </row>
    <row r="5" spans="1:11" ht="17">
      <c r="B5" s="25"/>
      <c r="C5" s="12"/>
      <c r="D5" s="12"/>
      <c r="E5" s="12"/>
      <c r="F5" s="12"/>
      <c r="G5" s="12"/>
      <c r="H5" s="12"/>
      <c r="I5" s="12"/>
      <c r="J5" s="12"/>
      <c r="K5" s="12"/>
    </row>
    <row r="6" spans="1:11" ht="17">
      <c r="B6" s="25"/>
      <c r="C6" s="12"/>
      <c r="D6" s="12"/>
      <c r="E6" s="12"/>
      <c r="F6" s="12"/>
      <c r="G6" s="12"/>
      <c r="H6" s="12"/>
      <c r="I6" s="12"/>
      <c r="J6" s="12"/>
      <c r="K6" s="12"/>
    </row>
    <row r="7" spans="1:11" ht="17">
      <c r="B7" s="25"/>
      <c r="C7" s="12"/>
      <c r="D7" s="12"/>
      <c r="E7" s="12"/>
      <c r="F7" s="12"/>
      <c r="G7" s="12"/>
      <c r="H7" s="12"/>
      <c r="I7" s="12"/>
      <c r="J7" s="12"/>
      <c r="K7" s="12"/>
    </row>
    <row r="8" spans="1:11" ht="17">
      <c r="B8" s="25"/>
      <c r="C8" s="12"/>
      <c r="D8" s="12"/>
      <c r="E8" s="12"/>
      <c r="F8" s="12"/>
      <c r="G8" s="12"/>
      <c r="H8" s="12"/>
      <c r="I8" s="12"/>
      <c r="J8" s="12"/>
      <c r="K8" s="12"/>
    </row>
    <row r="9" spans="1:11" ht="17">
      <c r="B9" s="25"/>
      <c r="C9" s="12"/>
      <c r="D9" s="12"/>
      <c r="E9" s="12"/>
      <c r="F9" s="12"/>
      <c r="G9" s="12"/>
      <c r="H9" s="12"/>
      <c r="I9" s="12"/>
      <c r="J9" s="12"/>
      <c r="K9" s="12"/>
    </row>
    <row r="10" spans="1:11" ht="21">
      <c r="B10" s="12"/>
      <c r="C10" s="12"/>
      <c r="D10" s="79" t="s">
        <v>0</v>
      </c>
      <c r="E10" s="12"/>
      <c r="F10" s="12"/>
      <c r="G10" s="12"/>
      <c r="H10" s="12"/>
      <c r="I10" s="12"/>
      <c r="J10" s="12"/>
      <c r="K10" s="12"/>
    </row>
    <row r="11" spans="1:11" ht="21">
      <c r="B11" s="12"/>
      <c r="C11" s="12"/>
      <c r="D11" s="79" t="s">
        <v>62</v>
      </c>
      <c r="E11" s="12"/>
      <c r="F11" s="12"/>
      <c r="G11" s="12"/>
      <c r="H11" s="12"/>
      <c r="I11" s="12"/>
      <c r="J11" s="12"/>
      <c r="K11" s="12"/>
    </row>
    <row r="12" spans="1:11" ht="17">
      <c r="B12" s="12"/>
      <c r="C12" s="12"/>
      <c r="D12" s="12"/>
      <c r="E12" s="12"/>
      <c r="F12" s="12"/>
      <c r="G12" s="12"/>
      <c r="H12" s="12"/>
      <c r="I12" s="12"/>
      <c r="J12" s="12"/>
      <c r="K12" s="12"/>
    </row>
    <row r="13" spans="1:11" ht="17">
      <c r="B13" s="12"/>
      <c r="C13" s="12"/>
      <c r="D13" s="12"/>
      <c r="E13" s="12"/>
      <c r="F13" s="12"/>
      <c r="G13" s="12"/>
      <c r="H13" s="12"/>
      <c r="I13" s="12"/>
      <c r="J13" s="12"/>
      <c r="K13" s="12"/>
    </row>
    <row r="14" spans="1:11" ht="17.5" thickBot="1">
      <c r="B14" s="12"/>
      <c r="C14" s="28"/>
      <c r="D14" s="28"/>
      <c r="E14" s="28"/>
      <c r="F14" s="12"/>
      <c r="G14" s="12"/>
      <c r="H14" s="12"/>
      <c r="I14" s="12"/>
      <c r="J14" s="12"/>
      <c r="K14" s="12"/>
    </row>
    <row r="15" spans="1:11" ht="25.5">
      <c r="B15" s="12"/>
      <c r="C15" s="12"/>
      <c r="D15" s="31" t="str">
        <f>+'S&amp;D'!A12</f>
        <v>Water Utility Companies (Private)</v>
      </c>
      <c r="E15" s="12"/>
      <c r="F15" s="12"/>
      <c r="G15" s="12"/>
      <c r="H15" s="12"/>
      <c r="I15" s="12"/>
      <c r="J15" s="12"/>
      <c r="K15" s="12"/>
    </row>
    <row r="16" spans="1:11" ht="21.5" thickBot="1">
      <c r="B16" s="12"/>
      <c r="C16" s="28"/>
      <c r="D16" s="143" t="s">
        <v>69</v>
      </c>
      <c r="E16" s="28"/>
      <c r="F16" s="12"/>
      <c r="G16" s="12"/>
      <c r="H16" s="12"/>
      <c r="I16" s="12"/>
      <c r="J16" s="12"/>
      <c r="K16" s="12"/>
    </row>
    <row r="17" spans="2:11" ht="17">
      <c r="H17" s="12"/>
      <c r="I17" s="12"/>
      <c r="J17" s="12"/>
      <c r="K17" s="12"/>
    </row>
    <row r="18" spans="2:11" ht="17.5" thickBot="1">
      <c r="B18" s="28"/>
      <c r="C18" s="28"/>
      <c r="D18" s="36" t="s">
        <v>0</v>
      </c>
      <c r="E18" s="28"/>
      <c r="F18" s="28"/>
      <c r="G18" s="28"/>
      <c r="H18" s="12"/>
      <c r="I18" s="12"/>
      <c r="J18" s="12"/>
      <c r="K18" s="12"/>
    </row>
    <row r="19" spans="2:11" ht="17">
      <c r="B19" s="34" t="s">
        <v>31</v>
      </c>
      <c r="C19" s="34" t="s">
        <v>32</v>
      </c>
      <c r="D19" s="34" t="s">
        <v>66</v>
      </c>
      <c r="E19" s="34" t="s">
        <v>67</v>
      </c>
      <c r="F19" s="34" t="s">
        <v>65</v>
      </c>
      <c r="G19" s="34" t="s">
        <v>34</v>
      </c>
      <c r="H19" s="12"/>
      <c r="I19" s="12"/>
      <c r="J19" s="12"/>
      <c r="K19" s="12"/>
    </row>
    <row r="20" spans="2:11" ht="17.5" thickBot="1">
      <c r="B20" s="36" t="s">
        <v>32</v>
      </c>
      <c r="C20" s="36" t="s">
        <v>35</v>
      </c>
      <c r="D20" s="36" t="s">
        <v>36</v>
      </c>
      <c r="E20" s="36" t="s">
        <v>23</v>
      </c>
      <c r="F20" s="36" t="s">
        <v>37</v>
      </c>
      <c r="G20" s="36" t="s">
        <v>68</v>
      </c>
      <c r="H20" s="12"/>
      <c r="I20" s="12"/>
      <c r="J20" s="12"/>
      <c r="K20" s="12"/>
    </row>
    <row r="21" spans="2:11" ht="17">
      <c r="B21" s="38" t="s">
        <v>0</v>
      </c>
      <c r="C21" s="38" t="s">
        <v>0</v>
      </c>
      <c r="D21" s="38" t="s">
        <v>0</v>
      </c>
      <c r="E21" s="38" t="s">
        <v>0</v>
      </c>
      <c r="F21" s="38" t="s">
        <v>0</v>
      </c>
      <c r="G21" s="38" t="s">
        <v>0</v>
      </c>
      <c r="H21" s="12"/>
      <c r="I21" s="12"/>
      <c r="J21" s="12"/>
      <c r="K21" s="12"/>
    </row>
    <row r="22" spans="2:11" ht="17">
      <c r="B22" s="34"/>
      <c r="C22" s="34"/>
      <c r="D22" s="34"/>
      <c r="E22" s="34"/>
      <c r="F22" s="34"/>
      <c r="G22" s="34"/>
      <c r="H22" s="12"/>
      <c r="I22" s="12"/>
      <c r="J22" s="12"/>
      <c r="K22" s="12"/>
    </row>
    <row r="23" spans="2:11" ht="17.5">
      <c r="B23" s="91" t="s">
        <v>39</v>
      </c>
      <c r="C23" s="144">
        <f>'S&amp;D'!I49</f>
        <v>0.71</v>
      </c>
      <c r="D23" s="144">
        <f>+'Direct NOPAT'!J32</f>
        <v>3.9899999999999998E-2</v>
      </c>
      <c r="E23" s="104" t="s">
        <v>40</v>
      </c>
      <c r="F23" s="144">
        <f>+D23</f>
        <v>3.9899999999999998E-2</v>
      </c>
      <c r="G23" s="145">
        <f>+F23*C23</f>
        <v>2.8328999999999997E-2</v>
      </c>
      <c r="H23" s="12"/>
      <c r="I23" s="12"/>
      <c r="J23" s="12"/>
      <c r="K23" s="12"/>
    </row>
    <row r="24" spans="2:11" ht="17.5">
      <c r="B24" s="91" t="s">
        <v>0</v>
      </c>
      <c r="C24" s="104" t="s">
        <v>0</v>
      </c>
      <c r="D24" s="104" t="s">
        <v>0</v>
      </c>
      <c r="E24" s="104" t="s">
        <v>0</v>
      </c>
      <c r="F24" s="146" t="s">
        <v>0</v>
      </c>
      <c r="G24" s="128" t="s">
        <v>0</v>
      </c>
      <c r="H24" s="12"/>
      <c r="I24" s="12"/>
      <c r="J24" s="12"/>
      <c r="K24" s="12"/>
    </row>
    <row r="25" spans="2:11" ht="17.5">
      <c r="B25" s="91" t="s">
        <v>41</v>
      </c>
      <c r="C25" s="144">
        <f>'S&amp;D'!J49</f>
        <v>0.28999999999999998</v>
      </c>
      <c r="D25" s="144">
        <f>+'Direct Debt'!I31</f>
        <v>5.3499999999999999E-2</v>
      </c>
      <c r="E25" s="144">
        <v>0.26</v>
      </c>
      <c r="F25" s="144">
        <f>+D25*(1-E25)</f>
        <v>3.959E-2</v>
      </c>
      <c r="G25" s="145">
        <f>+C25*F25</f>
        <v>1.1481099999999999E-2</v>
      </c>
      <c r="H25" s="12"/>
      <c r="I25" s="12"/>
      <c r="J25" s="12"/>
      <c r="K25" s="12"/>
    </row>
    <row r="26" spans="2:11" ht="18" thickBot="1">
      <c r="B26" s="97" t="s">
        <v>0</v>
      </c>
      <c r="C26" s="97" t="s">
        <v>0</v>
      </c>
      <c r="D26" s="97" t="s">
        <v>0</v>
      </c>
      <c r="E26" s="97" t="s">
        <v>0</v>
      </c>
      <c r="F26" s="147" t="s">
        <v>0</v>
      </c>
      <c r="G26" s="148" t="s">
        <v>0</v>
      </c>
      <c r="H26" s="12"/>
      <c r="I26" s="12"/>
      <c r="J26" s="12"/>
      <c r="K26" s="12"/>
    </row>
    <row r="27" spans="2:11" ht="17.5">
      <c r="B27" s="91" t="s">
        <v>42</v>
      </c>
      <c r="C27" s="149">
        <f>+C23+C25</f>
        <v>1</v>
      </c>
      <c r="D27" s="91" t="s">
        <v>0</v>
      </c>
      <c r="E27" s="91" t="s">
        <v>0</v>
      </c>
      <c r="F27" s="150" t="s">
        <v>0</v>
      </c>
      <c r="G27" s="145">
        <f>+G23+G25</f>
        <v>3.9810099999999994E-2</v>
      </c>
      <c r="H27" s="12"/>
      <c r="I27" s="12"/>
      <c r="J27" s="12"/>
      <c r="K27" s="12"/>
    </row>
    <row r="28" spans="2:11" ht="18" thickBot="1">
      <c r="B28" s="62"/>
      <c r="C28" s="62"/>
      <c r="D28" s="62"/>
      <c r="E28" s="62"/>
      <c r="F28" s="62"/>
      <c r="G28" s="151"/>
      <c r="H28" s="12"/>
      <c r="I28" s="12"/>
      <c r="J28" s="12"/>
      <c r="K28" s="12"/>
    </row>
    <row r="29" spans="2:11" ht="18" thickBot="1">
      <c r="B29" s="12"/>
      <c r="C29" s="12"/>
      <c r="D29" s="12"/>
      <c r="E29" s="12"/>
      <c r="F29" s="216" t="s">
        <v>73</v>
      </c>
      <c r="G29" s="330">
        <v>3.9800000000000002E-2</v>
      </c>
      <c r="H29" s="12"/>
      <c r="I29" s="12"/>
      <c r="J29" s="12"/>
      <c r="K29" s="12"/>
    </row>
    <row r="30" spans="2:11" ht="18" thickBot="1">
      <c r="B30" s="12"/>
      <c r="C30" s="12"/>
      <c r="D30" s="12"/>
      <c r="E30" s="12"/>
      <c r="F30" s="150"/>
      <c r="G30" s="145"/>
      <c r="H30" s="12"/>
      <c r="I30" s="12"/>
      <c r="J30" s="12"/>
      <c r="K30" s="12"/>
    </row>
    <row r="31" spans="2:11" ht="18" thickBot="1">
      <c r="B31" s="12"/>
      <c r="C31" s="12"/>
      <c r="D31" s="12"/>
      <c r="E31" s="12"/>
      <c r="F31" s="216" t="s">
        <v>234</v>
      </c>
      <c r="G31" s="254">
        <f>1/G29</f>
        <v>25.125628140703515</v>
      </c>
      <c r="H31" s="12"/>
      <c r="I31" s="12"/>
      <c r="J31" s="12"/>
      <c r="K31" s="12"/>
    </row>
    <row r="32" spans="2:11" ht="17.5">
      <c r="B32" s="12"/>
      <c r="C32" s="12"/>
      <c r="D32" s="12"/>
      <c r="E32" s="12"/>
      <c r="F32" s="150"/>
      <c r="G32" s="145"/>
      <c r="H32" s="12"/>
      <c r="I32" s="12"/>
      <c r="J32" s="12"/>
      <c r="K32" s="12"/>
    </row>
    <row r="33" spans="1:11" ht="17.5">
      <c r="B33" s="12"/>
      <c r="C33" s="12"/>
      <c r="D33" s="12"/>
      <c r="E33" s="12"/>
      <c r="F33" s="150"/>
      <c r="G33" s="145"/>
      <c r="H33" s="12"/>
      <c r="I33" s="12"/>
      <c r="J33" s="12"/>
      <c r="K33" s="12"/>
    </row>
    <row r="34" spans="1:11" ht="25.5">
      <c r="A34" s="23" t="s">
        <v>1</v>
      </c>
      <c r="C34" s="12"/>
      <c r="D34" s="12"/>
      <c r="E34" s="12"/>
      <c r="F34" s="150"/>
      <c r="G34" s="145"/>
      <c r="H34" s="12"/>
      <c r="I34" s="12"/>
      <c r="J34" s="12"/>
      <c r="K34" s="12"/>
    </row>
    <row r="35" spans="1:11" ht="17.5">
      <c r="A35" s="24" t="s">
        <v>9</v>
      </c>
      <c r="C35" s="12"/>
      <c r="D35" s="12"/>
      <c r="E35" s="12"/>
      <c r="F35" s="150"/>
      <c r="G35" s="145"/>
      <c r="H35" s="12"/>
      <c r="I35" s="12"/>
      <c r="J35" s="12"/>
      <c r="K35" s="12"/>
    </row>
    <row r="36" spans="1:11" ht="17.5">
      <c r="A36" s="25" t="s">
        <v>452</v>
      </c>
      <c r="C36" s="12"/>
      <c r="D36" s="12"/>
      <c r="E36" s="12"/>
      <c r="F36" s="150"/>
      <c r="G36" s="145"/>
      <c r="H36" s="12"/>
      <c r="I36" s="12"/>
      <c r="J36" s="12"/>
      <c r="K36" s="12"/>
    </row>
    <row r="37" spans="1:11" ht="17.5">
      <c r="A37" s="25"/>
      <c r="C37" s="12"/>
      <c r="D37" s="12"/>
      <c r="E37" s="12"/>
      <c r="F37" s="150"/>
      <c r="G37" s="145"/>
      <c r="H37" s="12"/>
      <c r="I37" s="12"/>
      <c r="J37" s="12"/>
      <c r="K37" s="12"/>
    </row>
    <row r="38" spans="1:11" ht="17.5">
      <c r="A38" s="25"/>
      <c r="C38" s="12"/>
      <c r="D38" s="12"/>
      <c r="E38" s="12"/>
      <c r="F38" s="150"/>
      <c r="G38" s="145"/>
      <c r="H38" s="12"/>
      <c r="I38" s="12"/>
      <c r="J38" s="12"/>
      <c r="K38" s="12"/>
    </row>
    <row r="39" spans="1:11" ht="17.5">
      <c r="A39" s="25"/>
      <c r="C39" s="12"/>
      <c r="D39" s="12"/>
      <c r="E39" s="12"/>
      <c r="F39" s="150"/>
      <c r="G39" s="145"/>
      <c r="H39" s="12"/>
      <c r="I39" s="12"/>
      <c r="J39" s="12"/>
      <c r="K39" s="12"/>
    </row>
    <row r="40" spans="1:11" ht="17.5">
      <c r="A40" s="25"/>
      <c r="C40" s="12"/>
      <c r="D40" s="12"/>
      <c r="E40" s="12"/>
      <c r="F40" s="150"/>
      <c r="G40" s="145"/>
      <c r="H40" s="12"/>
      <c r="I40" s="12"/>
      <c r="J40" s="12"/>
      <c r="K40" s="12"/>
    </row>
    <row r="41" spans="1:11" ht="17.5">
      <c r="A41" s="25"/>
      <c r="C41" s="12"/>
      <c r="D41" s="12"/>
      <c r="E41" s="12"/>
      <c r="F41" s="150"/>
      <c r="G41" s="145"/>
      <c r="H41" s="12"/>
      <c r="I41" s="12"/>
      <c r="J41" s="12"/>
      <c r="K41" s="12"/>
    </row>
    <row r="42" spans="1:11" ht="17.5">
      <c r="A42" s="25"/>
      <c r="C42" s="12"/>
      <c r="D42" s="12"/>
      <c r="E42" s="12"/>
      <c r="F42" s="150"/>
      <c r="G42" s="145"/>
      <c r="H42" s="12"/>
      <c r="I42" s="12"/>
      <c r="J42" s="12"/>
      <c r="K42" s="12"/>
    </row>
    <row r="43" spans="1:11" ht="17.5">
      <c r="A43" s="25"/>
      <c r="C43" s="12"/>
      <c r="D43" s="12"/>
      <c r="E43" s="12"/>
      <c r="F43" s="150"/>
      <c r="G43" s="145"/>
      <c r="H43" s="12"/>
      <c r="I43" s="12"/>
      <c r="J43" s="12"/>
      <c r="K43" s="12"/>
    </row>
    <row r="44" spans="1:11" ht="21">
      <c r="A44" s="25"/>
      <c r="C44" s="12"/>
      <c r="D44" s="79" t="s">
        <v>62</v>
      </c>
      <c r="E44" s="12"/>
      <c r="F44" s="150"/>
      <c r="G44" s="145"/>
      <c r="H44" s="12"/>
      <c r="I44" s="12"/>
      <c r="J44" s="12"/>
      <c r="K44" s="12"/>
    </row>
    <row r="45" spans="1:11" ht="21">
      <c r="A45" s="25"/>
      <c r="C45" s="12"/>
      <c r="D45" s="79"/>
      <c r="E45" s="12"/>
      <c r="F45" s="150"/>
      <c r="G45" s="145"/>
      <c r="H45" s="12"/>
      <c r="I45" s="12"/>
      <c r="J45" s="12"/>
      <c r="K45" s="12"/>
    </row>
    <row r="46" spans="1:11" ht="21">
      <c r="A46" s="25"/>
      <c r="C46" s="12"/>
      <c r="D46" s="79"/>
      <c r="E46" s="12"/>
      <c r="F46" s="150"/>
      <c r="G46" s="145"/>
      <c r="H46" s="12"/>
      <c r="I46" s="12"/>
      <c r="J46" s="12"/>
      <c r="K46" s="12"/>
    </row>
    <row r="47" spans="1:11" ht="17.5" thickBot="1">
      <c r="B47" s="12"/>
      <c r="C47" s="28"/>
      <c r="D47" s="28"/>
      <c r="E47" s="28"/>
      <c r="F47" s="12"/>
      <c r="G47" s="12"/>
      <c r="H47" s="12"/>
      <c r="I47" s="12"/>
      <c r="J47" s="12"/>
      <c r="K47" s="12"/>
    </row>
    <row r="48" spans="1:11" ht="25.5">
      <c r="B48" s="12"/>
      <c r="C48" s="12"/>
      <c r="D48" s="31" t="str">
        <f>+D15</f>
        <v>Water Utility Companies (Private)</v>
      </c>
      <c r="E48" s="12"/>
      <c r="F48" s="12"/>
      <c r="G48" s="12"/>
      <c r="H48" s="12"/>
      <c r="I48" s="12"/>
      <c r="J48" s="12"/>
      <c r="K48" s="12"/>
    </row>
    <row r="49" spans="2:11" ht="21.5" thickBot="1">
      <c r="B49" s="12"/>
      <c r="C49" s="28"/>
      <c r="D49" s="143" t="s">
        <v>64</v>
      </c>
      <c r="E49" s="28"/>
      <c r="F49" s="12"/>
      <c r="G49" s="12"/>
      <c r="H49" s="12"/>
      <c r="I49" s="12"/>
      <c r="J49" s="12"/>
      <c r="K49" s="12"/>
    </row>
    <row r="50" spans="2:11" ht="17">
      <c r="B50" s="12"/>
      <c r="C50" s="12"/>
      <c r="D50" s="12"/>
      <c r="E50" s="12"/>
      <c r="F50" s="12"/>
      <c r="G50" s="12"/>
      <c r="H50" s="12"/>
      <c r="I50" s="12"/>
      <c r="J50" s="12"/>
      <c r="K50" s="12"/>
    </row>
    <row r="51" spans="2:11" ht="17.5" thickBot="1">
      <c r="B51" s="28"/>
      <c r="C51" s="28"/>
      <c r="D51" s="36" t="s">
        <v>0</v>
      </c>
      <c r="E51" s="28"/>
      <c r="F51" s="28"/>
      <c r="G51" s="28"/>
      <c r="H51" s="12"/>
      <c r="I51" s="12"/>
      <c r="J51" s="12"/>
      <c r="K51" s="12"/>
    </row>
    <row r="52" spans="2:11" ht="17">
      <c r="B52" s="34" t="s">
        <v>31</v>
      </c>
      <c r="C52" s="34" t="s">
        <v>32</v>
      </c>
      <c r="D52" s="34" t="s">
        <v>66</v>
      </c>
      <c r="E52" s="34" t="s">
        <v>67</v>
      </c>
      <c r="F52" s="34" t="s">
        <v>65</v>
      </c>
      <c r="G52" s="34" t="s">
        <v>34</v>
      </c>
      <c r="H52" s="12"/>
      <c r="I52" s="12"/>
      <c r="J52" s="12"/>
      <c r="K52" s="12"/>
    </row>
    <row r="53" spans="2:11" ht="17.5" thickBot="1">
      <c r="B53" s="36" t="s">
        <v>32</v>
      </c>
      <c r="C53" s="36" t="s">
        <v>35</v>
      </c>
      <c r="D53" s="36" t="s">
        <v>36</v>
      </c>
      <c r="E53" s="36" t="s">
        <v>23</v>
      </c>
      <c r="F53" s="36" t="s">
        <v>37</v>
      </c>
      <c r="G53" s="36" t="s">
        <v>68</v>
      </c>
      <c r="H53" s="12"/>
      <c r="I53" s="12"/>
      <c r="J53" s="12"/>
      <c r="K53" s="12"/>
    </row>
    <row r="54" spans="2:11" ht="17">
      <c r="B54" s="38" t="s">
        <v>0</v>
      </c>
      <c r="C54" s="38" t="s">
        <v>0</v>
      </c>
      <c r="D54" s="38" t="s">
        <v>0</v>
      </c>
      <c r="E54" s="38" t="s">
        <v>0</v>
      </c>
      <c r="F54" s="38" t="s">
        <v>0</v>
      </c>
      <c r="G54" s="38" t="s">
        <v>0</v>
      </c>
      <c r="H54" s="12"/>
      <c r="I54" s="12"/>
      <c r="J54" s="12"/>
      <c r="K54" s="12"/>
    </row>
    <row r="55" spans="2:11" ht="17">
      <c r="B55" s="34"/>
      <c r="C55" s="34"/>
      <c r="D55" s="34"/>
      <c r="E55" s="34"/>
      <c r="F55" s="34"/>
      <c r="G55" s="34"/>
      <c r="H55" s="12"/>
      <c r="I55" s="12"/>
      <c r="J55" s="12"/>
      <c r="K55" s="12"/>
    </row>
    <row r="56" spans="2:11" ht="17.5">
      <c r="B56" s="91" t="s">
        <v>39</v>
      </c>
      <c r="C56" s="144">
        <f>'S&amp;D'!I49</f>
        <v>0.71</v>
      </c>
      <c r="D56" s="144">
        <f>+'Direct GCF'!H31</f>
        <v>6.5799999999999997E-2</v>
      </c>
      <c r="E56" s="104" t="s">
        <v>40</v>
      </c>
      <c r="F56" s="144">
        <f>+D56</f>
        <v>6.5799999999999997E-2</v>
      </c>
      <c r="G56" s="145">
        <f>+F56*C56</f>
        <v>4.6717999999999996E-2</v>
      </c>
      <c r="H56" s="12"/>
      <c r="I56" s="12"/>
      <c r="J56" s="12"/>
      <c r="K56" s="12"/>
    </row>
    <row r="57" spans="2:11" ht="17.5">
      <c r="B57" s="91" t="s">
        <v>0</v>
      </c>
      <c r="C57" s="104" t="s">
        <v>0</v>
      </c>
      <c r="D57" s="104" t="s">
        <v>0</v>
      </c>
      <c r="E57" s="104" t="s">
        <v>0</v>
      </c>
      <c r="F57" s="146" t="s">
        <v>0</v>
      </c>
      <c r="G57" s="128" t="s">
        <v>0</v>
      </c>
      <c r="H57" s="12"/>
      <c r="I57" s="12"/>
      <c r="J57" s="12"/>
      <c r="K57" s="12"/>
    </row>
    <row r="58" spans="2:11" ht="17.5">
      <c r="B58" s="91" t="s">
        <v>41</v>
      </c>
      <c r="C58" s="144">
        <f>'S&amp;D'!J49</f>
        <v>0.28999999999999998</v>
      </c>
      <c r="D58" s="144">
        <f>+'Direct Debt'!I31</f>
        <v>5.3499999999999999E-2</v>
      </c>
      <c r="E58" s="144">
        <v>0.26</v>
      </c>
      <c r="F58" s="144">
        <f>+D58*(1-E58)</f>
        <v>3.959E-2</v>
      </c>
      <c r="G58" s="145">
        <f>+C58*F58</f>
        <v>1.1481099999999999E-2</v>
      </c>
      <c r="H58" s="12"/>
      <c r="I58" s="12"/>
      <c r="J58" s="12"/>
      <c r="K58" s="12"/>
    </row>
    <row r="59" spans="2:11" ht="18" thickBot="1">
      <c r="B59" s="97" t="s">
        <v>0</v>
      </c>
      <c r="C59" s="97" t="s">
        <v>0</v>
      </c>
      <c r="D59" s="97" t="s">
        <v>0</v>
      </c>
      <c r="E59" s="97" t="s">
        <v>0</v>
      </c>
      <c r="F59" s="147" t="s">
        <v>0</v>
      </c>
      <c r="G59" s="148" t="s">
        <v>0</v>
      </c>
      <c r="H59" s="12"/>
      <c r="I59" s="12"/>
      <c r="J59" s="12"/>
      <c r="K59" s="12"/>
    </row>
    <row r="60" spans="2:11" ht="17.5">
      <c r="B60" s="91" t="s">
        <v>42</v>
      </c>
      <c r="C60" s="149">
        <f>+C56+C58</f>
        <v>1</v>
      </c>
      <c r="D60" s="91" t="s">
        <v>0</v>
      </c>
      <c r="E60" s="91" t="s">
        <v>0</v>
      </c>
      <c r="F60" s="150" t="s">
        <v>0</v>
      </c>
      <c r="G60" s="145">
        <f>+G56+G58</f>
        <v>5.8199099999999997E-2</v>
      </c>
      <c r="H60" s="12"/>
      <c r="I60" s="12"/>
      <c r="J60" s="12"/>
      <c r="K60" s="12"/>
    </row>
    <row r="61" spans="2:11" ht="18" thickBot="1">
      <c r="B61" s="62"/>
      <c r="C61" s="62"/>
      <c r="D61" s="62"/>
      <c r="E61" s="62"/>
      <c r="F61" s="62"/>
      <c r="G61" s="151"/>
      <c r="H61" s="12"/>
      <c r="I61" s="12"/>
      <c r="J61" s="12"/>
      <c r="K61" s="12"/>
    </row>
    <row r="62" spans="2:11" ht="18" thickBot="1">
      <c r="B62" s="12"/>
      <c r="C62" s="12"/>
      <c r="D62" s="12"/>
      <c r="E62" s="12"/>
      <c r="F62" s="216" t="s">
        <v>73</v>
      </c>
      <c r="G62" s="330">
        <v>5.8200000000000002E-2</v>
      </c>
      <c r="H62" s="12"/>
      <c r="I62" s="12"/>
      <c r="J62" s="12"/>
      <c r="K62" s="12"/>
    </row>
    <row r="63" spans="2:11" ht="15" thickBot="1"/>
    <row r="64" spans="2:11" ht="18" thickBot="1">
      <c r="F64" s="216" t="s">
        <v>234</v>
      </c>
      <c r="G64" s="254">
        <f>1/G62</f>
        <v>17.182130584192439</v>
      </c>
    </row>
  </sheetData>
  <pageMargins left="0.25" right="0.25" top="0.75" bottom="0.75" header="0.3" footer="0.3"/>
  <pageSetup scale="73" fitToHeight="0" orientation="landscape" r:id="rId1"/>
  <rowBreaks count="1" manualBreakCount="1">
    <brk id="33" max="7"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M72"/>
  <sheetViews>
    <sheetView view="pageBreakPreview" zoomScale="60" zoomScaleNormal="80" zoomScalePageLayoutView="70" workbookViewId="0">
      <pane xSplit="1" topLeftCell="B1" activePane="topRight" state="frozen"/>
      <selection pane="topRight" activeCell="L23" sqref="L23"/>
    </sheetView>
  </sheetViews>
  <sheetFormatPr defaultRowHeight="14.5"/>
  <cols>
    <col min="1" max="1" width="63" customWidth="1"/>
    <col min="2" max="2" width="11.54296875" bestFit="1" customWidth="1"/>
    <col min="3" max="3" width="20.453125" bestFit="1" customWidth="1"/>
    <col min="4" max="4" width="25.54296875" bestFit="1" customWidth="1"/>
    <col min="5" max="5" width="28" customWidth="1"/>
    <col min="6" max="7" width="29.1796875" customWidth="1"/>
    <col min="8" max="8" width="31.81640625" customWidth="1"/>
    <col min="9" max="9" width="31.54296875" customWidth="1"/>
    <col min="10" max="10" width="30.81640625" customWidth="1"/>
    <col min="11" max="11" width="12.81640625" customWidth="1"/>
    <col min="12" max="12" width="25.81640625" bestFit="1" customWidth="1"/>
    <col min="13" max="13" width="30.1796875" bestFit="1" customWidth="1"/>
    <col min="14" max="14" width="9.1796875" customWidth="1"/>
  </cols>
  <sheetData>
    <row r="1" spans="1:12" ht="25.5">
      <c r="A1" s="23" t="s">
        <v>1</v>
      </c>
      <c r="B1" s="12"/>
      <c r="C1" s="12"/>
      <c r="D1" s="12"/>
      <c r="E1" s="12"/>
      <c r="F1" s="12"/>
      <c r="G1" s="12"/>
      <c r="H1" s="12"/>
      <c r="I1" s="12"/>
      <c r="J1" s="12"/>
      <c r="K1" s="12"/>
    </row>
    <row r="2" spans="1:12" ht="17.5">
      <c r="A2" s="24" t="s">
        <v>9</v>
      </c>
      <c r="B2" s="12"/>
      <c r="C2" s="12"/>
      <c r="D2" s="12"/>
      <c r="E2" s="12"/>
      <c r="F2" s="12"/>
      <c r="G2" s="12"/>
      <c r="H2" s="12"/>
      <c r="I2" s="12"/>
      <c r="J2" s="12"/>
      <c r="K2" s="12"/>
    </row>
    <row r="3" spans="1:12" ht="17">
      <c r="A3" s="25" t="s">
        <v>452</v>
      </c>
      <c r="B3" s="12"/>
      <c r="C3" s="12"/>
      <c r="D3" s="12"/>
      <c r="E3" s="12"/>
      <c r="F3" s="12"/>
      <c r="G3" s="12"/>
      <c r="H3" s="12"/>
      <c r="I3" s="12"/>
      <c r="J3" s="12"/>
      <c r="K3" s="12"/>
    </row>
    <row r="4" spans="1:12" ht="17">
      <c r="A4" s="25"/>
      <c r="B4" s="12"/>
      <c r="C4" s="12"/>
      <c r="D4" s="12"/>
      <c r="E4" s="12"/>
      <c r="F4" s="214" t="s">
        <v>0</v>
      </c>
      <c r="G4" s="12"/>
      <c r="H4" s="12"/>
      <c r="I4" s="12"/>
      <c r="J4" s="12"/>
      <c r="K4" s="12"/>
    </row>
    <row r="5" spans="1:12" ht="17">
      <c r="B5" s="12"/>
      <c r="C5" s="12"/>
      <c r="D5" s="12"/>
      <c r="E5" s="26"/>
      <c r="F5" s="214" t="s">
        <v>0</v>
      </c>
      <c r="G5" s="12"/>
      <c r="H5" s="12"/>
      <c r="I5" s="12"/>
      <c r="J5" s="12"/>
      <c r="K5" s="12" t="s">
        <v>0</v>
      </c>
    </row>
    <row r="6" spans="1:12" ht="17">
      <c r="A6" s="12"/>
      <c r="B6" s="12"/>
      <c r="C6" s="12"/>
      <c r="D6" s="12"/>
      <c r="E6" s="12"/>
      <c r="F6" s="12"/>
      <c r="G6" s="12"/>
      <c r="H6" s="12"/>
      <c r="I6" s="12"/>
      <c r="J6" s="12"/>
      <c r="K6" s="12"/>
    </row>
    <row r="7" spans="1:12" ht="17">
      <c r="A7" s="12"/>
      <c r="B7" s="34"/>
      <c r="C7" s="34"/>
      <c r="D7" s="34"/>
      <c r="E7" s="34"/>
      <c r="F7" s="34"/>
      <c r="G7" s="14"/>
      <c r="H7" s="43"/>
      <c r="I7" s="43"/>
      <c r="J7" s="86"/>
      <c r="K7" s="86"/>
      <c r="L7" s="3"/>
    </row>
    <row r="8" spans="1:12" ht="17">
      <c r="A8" s="87"/>
      <c r="B8" s="34"/>
      <c r="C8" s="34"/>
      <c r="D8" s="34"/>
      <c r="E8" s="34"/>
      <c r="F8" s="34"/>
      <c r="G8" s="14"/>
      <c r="H8" s="43"/>
      <c r="I8" s="43"/>
      <c r="J8" s="86"/>
      <c r="K8" s="86"/>
      <c r="L8" s="3"/>
    </row>
    <row r="9" spans="1:12" ht="17">
      <c r="A9" s="87"/>
      <c r="B9" s="34"/>
      <c r="C9" s="34"/>
      <c r="D9" s="34"/>
      <c r="E9" s="34"/>
      <c r="F9" s="34"/>
      <c r="G9" s="14"/>
      <c r="H9" s="43"/>
      <c r="I9" s="43"/>
      <c r="J9" s="86"/>
      <c r="K9" s="86"/>
      <c r="L9" s="3"/>
    </row>
    <row r="10" spans="1:12" ht="17">
      <c r="A10" s="43"/>
      <c r="D10" s="43"/>
      <c r="E10" s="43"/>
      <c r="F10" s="43"/>
      <c r="G10" s="43"/>
      <c r="H10" s="43"/>
      <c r="I10" s="43"/>
      <c r="J10" s="43"/>
      <c r="K10" s="43"/>
      <c r="L10" s="2"/>
    </row>
    <row r="11" spans="1:12" ht="17.5" thickBot="1">
      <c r="A11" s="43"/>
      <c r="D11" s="43"/>
      <c r="E11" s="88"/>
      <c r="F11" s="28"/>
      <c r="G11" s="88"/>
      <c r="H11" s="43"/>
      <c r="I11" s="43"/>
      <c r="J11" s="43"/>
      <c r="K11" s="43"/>
      <c r="L11" s="2"/>
    </row>
    <row r="12" spans="1:12" ht="26" thickBot="1">
      <c r="A12" s="27" t="s">
        <v>412</v>
      </c>
      <c r="D12" s="43"/>
      <c r="E12" s="43"/>
      <c r="F12" s="31" t="s">
        <v>74</v>
      </c>
      <c r="G12" s="43"/>
      <c r="H12" s="43"/>
      <c r="I12" s="43"/>
      <c r="J12" s="43"/>
      <c r="K12" s="12"/>
    </row>
    <row r="13" spans="1:12" ht="21.5" thickBot="1">
      <c r="A13" s="30"/>
      <c r="D13" s="43"/>
      <c r="E13" s="88"/>
      <c r="F13" s="36" t="s">
        <v>453</v>
      </c>
      <c r="G13" s="88"/>
      <c r="H13" s="43"/>
      <c r="I13" s="43"/>
      <c r="J13" s="43"/>
      <c r="K13" s="12"/>
    </row>
    <row r="14" spans="1:12" ht="21">
      <c r="A14" s="30"/>
      <c r="B14" s="43"/>
      <c r="C14" s="43"/>
      <c r="D14" s="43"/>
      <c r="E14" s="43"/>
      <c r="F14" s="13" t="s">
        <v>0</v>
      </c>
      <c r="G14" s="43"/>
      <c r="H14" s="43"/>
      <c r="I14" s="43"/>
      <c r="J14" s="43"/>
      <c r="K14" s="12"/>
    </row>
    <row r="15" spans="1:12" ht="17.5" thickBot="1">
      <c r="A15" s="41" t="s">
        <v>0</v>
      </c>
      <c r="B15" s="41" t="s">
        <v>0</v>
      </c>
      <c r="C15" s="41" t="s">
        <v>0</v>
      </c>
      <c r="D15" s="41"/>
      <c r="E15" s="41"/>
      <c r="F15" s="41"/>
      <c r="G15" s="41" t="s">
        <v>0</v>
      </c>
      <c r="H15" s="88"/>
      <c r="I15" s="88"/>
      <c r="J15" s="88"/>
      <c r="K15" s="12"/>
    </row>
    <row r="16" spans="1:12" ht="17.5">
      <c r="A16" s="270"/>
      <c r="B16" s="271"/>
      <c r="C16" s="289"/>
      <c r="D16" s="255" t="s">
        <v>13</v>
      </c>
      <c r="E16" s="284" t="s">
        <v>13</v>
      </c>
      <c r="F16" s="255" t="s">
        <v>13</v>
      </c>
      <c r="G16" s="272" t="s">
        <v>244</v>
      </c>
      <c r="H16" s="440" t="s">
        <v>454</v>
      </c>
      <c r="I16" s="93" t="s">
        <v>454</v>
      </c>
      <c r="J16" s="440" t="s">
        <v>454</v>
      </c>
      <c r="K16" s="12"/>
    </row>
    <row r="17" spans="1:13" ht="17.5">
      <c r="A17" s="89" t="s">
        <v>0</v>
      </c>
      <c r="B17" s="90" t="s">
        <v>3</v>
      </c>
      <c r="C17" s="258" t="s">
        <v>5</v>
      </c>
      <c r="D17" s="92" t="s">
        <v>10</v>
      </c>
      <c r="E17" s="285" t="s">
        <v>10</v>
      </c>
      <c r="F17" s="92" t="s">
        <v>19</v>
      </c>
      <c r="G17" s="93" t="s">
        <v>454</v>
      </c>
      <c r="H17" s="90" t="s">
        <v>12</v>
      </c>
      <c r="I17" s="275" t="s">
        <v>11</v>
      </c>
      <c r="J17" s="94" t="s">
        <v>152</v>
      </c>
      <c r="K17" s="12"/>
    </row>
    <row r="18" spans="1:13" ht="17.5">
      <c r="A18" s="89" t="s">
        <v>2</v>
      </c>
      <c r="B18" s="90" t="s">
        <v>4</v>
      </c>
      <c r="C18" s="258" t="s">
        <v>6</v>
      </c>
      <c r="D18" s="92" t="s">
        <v>45</v>
      </c>
      <c r="E18" s="285" t="s">
        <v>46</v>
      </c>
      <c r="F18" s="92" t="s">
        <v>10</v>
      </c>
      <c r="G18" s="93" t="s">
        <v>10</v>
      </c>
      <c r="H18" s="90" t="s">
        <v>72</v>
      </c>
      <c r="I18" s="286"/>
      <c r="J18" s="94" t="s">
        <v>245</v>
      </c>
      <c r="K18" s="12" t="s">
        <v>0</v>
      </c>
    </row>
    <row r="19" spans="1:13" ht="18" thickBot="1">
      <c r="A19" s="95" t="s">
        <v>0</v>
      </c>
      <c r="B19" s="96" t="s">
        <v>0</v>
      </c>
      <c r="C19" s="116" t="s">
        <v>0</v>
      </c>
      <c r="D19" s="96" t="s">
        <v>0</v>
      </c>
      <c r="E19" s="97" t="s">
        <v>0</v>
      </c>
      <c r="F19" s="96" t="s">
        <v>0</v>
      </c>
      <c r="G19" s="97" t="s">
        <v>0</v>
      </c>
      <c r="H19" s="98" t="s">
        <v>61</v>
      </c>
      <c r="I19" s="99" t="s">
        <v>60</v>
      </c>
      <c r="J19" s="98" t="s">
        <v>60</v>
      </c>
      <c r="K19" s="12"/>
    </row>
    <row r="20" spans="1:13" ht="17.5" thickBot="1">
      <c r="A20" s="311" t="s">
        <v>7</v>
      </c>
      <c r="B20" s="291" t="s">
        <v>7</v>
      </c>
      <c r="C20" s="321" t="s">
        <v>7</v>
      </c>
      <c r="D20" s="321" t="s">
        <v>7</v>
      </c>
      <c r="E20" s="321" t="s">
        <v>7</v>
      </c>
      <c r="F20" s="291"/>
      <c r="G20" s="312" t="s">
        <v>7</v>
      </c>
      <c r="H20" s="324" t="s">
        <v>8</v>
      </c>
      <c r="I20" s="444" t="s">
        <v>8</v>
      </c>
      <c r="J20" s="291" t="s">
        <v>8</v>
      </c>
      <c r="K20" s="12"/>
    </row>
    <row r="21" spans="1:13" ht="17.5">
      <c r="A21" s="89"/>
      <c r="B21" s="90"/>
      <c r="C21" s="258"/>
      <c r="D21" s="90"/>
      <c r="E21" s="91"/>
      <c r="F21" s="90"/>
      <c r="G21" s="91"/>
      <c r="H21" s="271"/>
      <c r="I21" s="445"/>
      <c r="J21" s="102"/>
      <c r="K21" s="12"/>
    </row>
    <row r="22" spans="1:13" ht="17.5">
      <c r="A22" s="103" t="s">
        <v>318</v>
      </c>
      <c r="B22" s="90" t="s">
        <v>319</v>
      </c>
      <c r="C22" s="258" t="s">
        <v>330</v>
      </c>
      <c r="D22" s="105">
        <v>85.72</v>
      </c>
      <c r="E22" s="59">
        <v>75.2</v>
      </c>
      <c r="F22" s="105">
        <f>AVERAGE(D22,E22)</f>
        <v>80.460000000000008</v>
      </c>
      <c r="G22" s="59">
        <v>80.42</v>
      </c>
      <c r="H22" s="441">
        <v>36980612</v>
      </c>
      <c r="I22" s="446">
        <v>0</v>
      </c>
      <c r="J22" s="370">
        <f>575555000+353000</f>
        <v>575908000</v>
      </c>
      <c r="K22" s="12"/>
    </row>
    <row r="23" spans="1:13" ht="17.5">
      <c r="A23" s="103" t="s">
        <v>320</v>
      </c>
      <c r="B23" s="90" t="s">
        <v>321</v>
      </c>
      <c r="C23" s="258" t="s">
        <v>330</v>
      </c>
      <c r="D23" s="105">
        <v>136.69999999999999</v>
      </c>
      <c r="E23" s="59">
        <v>114.25</v>
      </c>
      <c r="F23" s="105">
        <f t="shared" ref="F23:F27" si="0">AVERAGE(D23,E23)</f>
        <v>125.47499999999999</v>
      </c>
      <c r="G23" s="59">
        <v>131.99</v>
      </c>
      <c r="H23" s="442">
        <f>200144968-5414867</f>
        <v>194730101</v>
      </c>
      <c r="I23" s="446">
        <v>3000000</v>
      </c>
      <c r="J23" s="371">
        <f>11715000000+475000000</f>
        <v>12190000000</v>
      </c>
      <c r="K23" s="12"/>
    </row>
    <row r="24" spans="1:13" ht="17.5">
      <c r="A24" s="103" t="s">
        <v>322</v>
      </c>
      <c r="B24" s="94" t="s">
        <v>323</v>
      </c>
      <c r="C24" s="258" t="s">
        <v>330</v>
      </c>
      <c r="D24" s="105">
        <v>54.85</v>
      </c>
      <c r="E24" s="59">
        <v>45.44</v>
      </c>
      <c r="F24" s="105">
        <f t="shared" ref="F24" si="1">AVERAGE(D24,E24)</f>
        <v>50.144999999999996</v>
      </c>
      <c r="G24" s="59">
        <v>51.87</v>
      </c>
      <c r="H24" s="370">
        <v>57724000</v>
      </c>
      <c r="I24" s="446">
        <v>0</v>
      </c>
      <c r="J24" s="370">
        <f>1052768000+672000</f>
        <v>1053440000</v>
      </c>
      <c r="K24" s="12"/>
      <c r="L24" t="s">
        <v>0</v>
      </c>
    </row>
    <row r="25" spans="1:13" ht="17.5">
      <c r="A25" s="290" t="s">
        <v>324</v>
      </c>
      <c r="B25" s="94" t="s">
        <v>325</v>
      </c>
      <c r="C25" s="258" t="s">
        <v>330</v>
      </c>
      <c r="D25" s="105">
        <v>38.049999999999997</v>
      </c>
      <c r="E25" s="59">
        <v>32.07</v>
      </c>
      <c r="F25" s="105">
        <f t="shared" si="0"/>
        <v>35.06</v>
      </c>
      <c r="G25" s="59">
        <v>37.35</v>
      </c>
      <c r="H25" s="370">
        <f>276595228-3299191</f>
        <v>273296037</v>
      </c>
      <c r="I25" s="446">
        <v>0</v>
      </c>
      <c r="J25" s="372">
        <f>6870593000+67415000</f>
        <v>6938008000</v>
      </c>
      <c r="K25" s="12"/>
    </row>
    <row r="26" spans="1:13" ht="17.5">
      <c r="A26" s="106" t="s">
        <v>326</v>
      </c>
      <c r="B26" s="94" t="s">
        <v>327</v>
      </c>
      <c r="C26" s="258" t="s">
        <v>330</v>
      </c>
      <c r="D26" s="105">
        <v>73.47</v>
      </c>
      <c r="E26" s="59">
        <v>61.34</v>
      </c>
      <c r="F26" s="105">
        <f t="shared" si="0"/>
        <v>67.405000000000001</v>
      </c>
      <c r="G26" s="59">
        <v>65.62</v>
      </c>
      <c r="H26" s="373">
        <v>17821000</v>
      </c>
      <c r="I26" s="446">
        <v>2084000</v>
      </c>
      <c r="J26" s="373">
        <f>358153000+7740000</f>
        <v>365893000</v>
      </c>
      <c r="K26" s="12"/>
    </row>
    <row r="27" spans="1:13" ht="18" thickBot="1">
      <c r="A27" s="316" t="s">
        <v>328</v>
      </c>
      <c r="B27" s="96" t="s">
        <v>329</v>
      </c>
      <c r="C27" s="116" t="s">
        <v>330</v>
      </c>
      <c r="D27" s="375">
        <v>70.430000000000007</v>
      </c>
      <c r="E27" s="376">
        <v>56.96</v>
      </c>
      <c r="F27" s="375">
        <f t="shared" si="0"/>
        <v>63.695000000000007</v>
      </c>
      <c r="G27" s="376">
        <v>65.650000000000006</v>
      </c>
      <c r="H27" s="443">
        <v>32023004</v>
      </c>
      <c r="I27" s="447">
        <v>0</v>
      </c>
      <c r="J27" s="374">
        <f>1526699000+48975000</f>
        <v>1575674000</v>
      </c>
      <c r="K27" s="12"/>
      <c r="M27" s="10" t="s">
        <v>0</v>
      </c>
    </row>
    <row r="28" spans="1:13" ht="17.5">
      <c r="A28" s="107"/>
      <c r="B28" s="107"/>
      <c r="C28" s="107"/>
      <c r="D28" s="107"/>
      <c r="E28" s="107"/>
      <c r="F28" s="107"/>
      <c r="G28" s="107"/>
      <c r="H28" s="107"/>
      <c r="I28" s="107"/>
      <c r="J28" s="107"/>
      <c r="K28" s="12"/>
    </row>
    <row r="29" spans="1:13" ht="17.5">
      <c r="A29" s="107"/>
      <c r="B29" s="107"/>
      <c r="C29" s="107"/>
      <c r="D29" s="107"/>
      <c r="E29" s="107"/>
      <c r="F29" s="107"/>
      <c r="G29" s="107"/>
      <c r="H29" s="107"/>
      <c r="I29" s="107"/>
      <c r="J29" s="107" t="s">
        <v>0</v>
      </c>
      <c r="K29" s="12"/>
    </row>
    <row r="30" spans="1:13" ht="18" thickBot="1">
      <c r="A30" s="108" t="s">
        <v>0</v>
      </c>
      <c r="B30" s="109"/>
      <c r="C30" s="109"/>
      <c r="D30" s="109"/>
      <c r="E30" s="109"/>
      <c r="F30" s="28"/>
      <c r="G30" s="109"/>
      <c r="H30" s="109"/>
      <c r="I30" s="109"/>
      <c r="J30" s="107"/>
      <c r="K30" s="107"/>
      <c r="L30" s="4"/>
    </row>
    <row r="31" spans="1:13" ht="17.5">
      <c r="A31" s="110"/>
      <c r="B31" s="111"/>
      <c r="C31" s="111"/>
      <c r="D31" s="111"/>
      <c r="E31" s="112" t="s">
        <v>0</v>
      </c>
      <c r="F31" s="112" t="s">
        <v>0</v>
      </c>
      <c r="G31" s="113"/>
      <c r="H31" s="111"/>
      <c r="I31" s="111"/>
      <c r="J31" s="114"/>
      <c r="K31" s="107"/>
      <c r="L31" s="4"/>
    </row>
    <row r="32" spans="1:13" ht="17.5">
      <c r="A32" s="89"/>
      <c r="B32" s="91"/>
      <c r="C32" s="91"/>
      <c r="D32" s="93" t="s">
        <v>454</v>
      </c>
      <c r="E32" s="93" t="s">
        <v>454</v>
      </c>
      <c r="F32" s="93" t="s">
        <v>454</v>
      </c>
      <c r="G32" s="93" t="s">
        <v>454</v>
      </c>
      <c r="H32" s="93" t="s">
        <v>454</v>
      </c>
      <c r="I32" s="93" t="s">
        <v>454</v>
      </c>
      <c r="J32" s="448" t="s">
        <v>454</v>
      </c>
      <c r="K32" s="12"/>
      <c r="L32" s="5"/>
    </row>
    <row r="33" spans="1:12" ht="17.5">
      <c r="A33" s="89" t="s">
        <v>0</v>
      </c>
      <c r="B33" s="91" t="s">
        <v>3</v>
      </c>
      <c r="C33" s="91" t="s">
        <v>5</v>
      </c>
      <c r="D33" s="91" t="s">
        <v>12</v>
      </c>
      <c r="E33" s="104" t="s">
        <v>151</v>
      </c>
      <c r="F33" s="104" t="s">
        <v>295</v>
      </c>
      <c r="G33" s="91" t="s">
        <v>209</v>
      </c>
      <c r="H33" s="104" t="s">
        <v>16</v>
      </c>
      <c r="I33" s="104" t="s">
        <v>17</v>
      </c>
      <c r="J33" s="115" t="s">
        <v>51</v>
      </c>
      <c r="K33" s="12"/>
      <c r="L33" s="5"/>
    </row>
    <row r="34" spans="1:12" ht="18" thickBot="1">
      <c r="A34" s="95" t="s">
        <v>2</v>
      </c>
      <c r="B34" s="97" t="s">
        <v>4</v>
      </c>
      <c r="C34" s="97" t="s">
        <v>6</v>
      </c>
      <c r="D34" s="97" t="s">
        <v>14</v>
      </c>
      <c r="E34" s="97" t="s">
        <v>14</v>
      </c>
      <c r="F34" s="97" t="s">
        <v>308</v>
      </c>
      <c r="G34" s="97" t="s">
        <v>14</v>
      </c>
      <c r="H34" s="97" t="s">
        <v>378</v>
      </c>
      <c r="I34" s="97" t="s">
        <v>0</v>
      </c>
      <c r="J34" s="116" t="s">
        <v>379</v>
      </c>
      <c r="K34" s="12"/>
      <c r="L34" s="1"/>
    </row>
    <row r="35" spans="1:12" ht="17">
      <c r="A35" s="100" t="s">
        <v>7</v>
      </c>
      <c r="B35" s="42" t="s">
        <v>7</v>
      </c>
      <c r="C35" s="42" t="s">
        <v>7</v>
      </c>
      <c r="D35" s="42" t="s">
        <v>15</v>
      </c>
      <c r="E35" s="42" t="s">
        <v>8</v>
      </c>
      <c r="F35" s="42" t="s">
        <v>8</v>
      </c>
      <c r="G35" s="42" t="s">
        <v>8</v>
      </c>
      <c r="H35" s="42" t="s">
        <v>15</v>
      </c>
      <c r="I35" s="42" t="s">
        <v>15</v>
      </c>
      <c r="J35" s="117" t="s">
        <v>15</v>
      </c>
      <c r="K35" s="12"/>
      <c r="L35" s="5"/>
    </row>
    <row r="36" spans="1:12" ht="17.5">
      <c r="A36" s="89"/>
      <c r="B36" s="91"/>
      <c r="C36" s="91"/>
      <c r="D36" s="107"/>
      <c r="E36" s="107"/>
      <c r="F36" s="107"/>
      <c r="G36" s="107"/>
      <c r="H36" s="62"/>
      <c r="I36" s="62"/>
      <c r="J36" s="118"/>
      <c r="K36" s="12"/>
      <c r="L36" s="4"/>
    </row>
    <row r="37" spans="1:12" ht="17.5">
      <c r="A37" s="103" t="str">
        <f t="shared" ref="A37:C42" si="2">+A22</f>
        <v>American States Water Company</v>
      </c>
      <c r="B37" s="91" t="str">
        <f t="shared" si="2"/>
        <v>AWR</v>
      </c>
      <c r="C37" s="91" t="str">
        <f t="shared" si="2"/>
        <v>Water Utility</v>
      </c>
      <c r="D37" s="119">
        <f t="shared" ref="D37:D42" si="3">(+H22)*G22</f>
        <v>2973980817.04</v>
      </c>
      <c r="E37" s="325">
        <f t="shared" ref="E37:E42" si="4">(1/1)*I22</f>
        <v>0</v>
      </c>
      <c r="F37" s="119">
        <v>8000000</v>
      </c>
      <c r="G37" s="446">
        <f>(556214/579047)*J22</f>
        <v>553198777.14935052</v>
      </c>
      <c r="H37" s="446">
        <f>+D37+E37+F37+G37</f>
        <v>3535179594.1893506</v>
      </c>
      <c r="I37" s="120">
        <f t="shared" ref="I37:I42" si="5">(+D37)/H37</f>
        <v>0.84125310689398269</v>
      </c>
      <c r="J37" s="121">
        <f>(+E37+F37+G37)/H37</f>
        <v>0.15874689310601731</v>
      </c>
      <c r="K37" s="12"/>
      <c r="L37" s="4"/>
    </row>
    <row r="38" spans="1:12" ht="17.5">
      <c r="A38" s="103" t="str">
        <f t="shared" si="2"/>
        <v>American Water Works Company Inc</v>
      </c>
      <c r="B38" s="91" t="str">
        <f t="shared" si="2"/>
        <v>AWK</v>
      </c>
      <c r="C38" s="91" t="str">
        <f t="shared" si="2"/>
        <v>Water Utility</v>
      </c>
      <c r="D38" s="119">
        <f t="shared" si="3"/>
        <v>25702426030.990002</v>
      </c>
      <c r="E38" s="119">
        <f t="shared" si="4"/>
        <v>3000000</v>
      </c>
      <c r="F38" s="119">
        <v>73000000</v>
      </c>
      <c r="G38" s="446">
        <f>(11376/12190)*J23</f>
        <v>11376000000</v>
      </c>
      <c r="H38" s="446">
        <f t="shared" ref="H38:H42" si="6">+D38+E38+F38+G38</f>
        <v>37154426030.990005</v>
      </c>
      <c r="I38" s="120">
        <f t="shared" si="5"/>
        <v>0.69177292658355038</v>
      </c>
      <c r="J38" s="121">
        <f t="shared" ref="J38:J42" si="7">(+E38+F38+G38)/H38</f>
        <v>0.3082270734164495</v>
      </c>
      <c r="K38" s="12"/>
      <c r="L38" s="4"/>
    </row>
    <row r="39" spans="1:12" ht="17.5">
      <c r="A39" s="103" t="str">
        <f t="shared" si="2"/>
        <v xml:space="preserve">California Water Service Group </v>
      </c>
      <c r="B39" s="91" t="str">
        <f t="shared" si="2"/>
        <v>CWT</v>
      </c>
      <c r="C39" s="91" t="str">
        <f t="shared" si="2"/>
        <v>Water Utility</v>
      </c>
      <c r="D39" s="119">
        <f t="shared" si="3"/>
        <v>2994143880</v>
      </c>
      <c r="E39" s="119">
        <f t="shared" si="4"/>
        <v>0</v>
      </c>
      <c r="F39" s="119">
        <v>13567000</v>
      </c>
      <c r="G39" s="446">
        <f>(965444/1053440)*J24</f>
        <v>965444000</v>
      </c>
      <c r="H39" s="446">
        <f t="shared" ref="H39" si="8">+D39+E39+F39+G39</f>
        <v>3973154880</v>
      </c>
      <c r="I39" s="120">
        <f t="shared" ref="I39" si="9">(+D39)/H39</f>
        <v>0.7535935473021379</v>
      </c>
      <c r="J39" s="121">
        <f t="shared" ref="J39" si="10">(+E39+F39+G39)/H39</f>
        <v>0.2464064526978621</v>
      </c>
      <c r="K39" s="12"/>
      <c r="L39" s="4"/>
    </row>
    <row r="40" spans="1:12" ht="17.5">
      <c r="A40" s="103" t="str">
        <f t="shared" si="2"/>
        <v>Essential Utilities, Inc.</v>
      </c>
      <c r="B40" s="91" t="str">
        <f t="shared" si="2"/>
        <v>WTRG</v>
      </c>
      <c r="C40" s="91" t="str">
        <f t="shared" si="2"/>
        <v>Water Utility</v>
      </c>
      <c r="D40" s="119">
        <f t="shared" si="3"/>
        <v>10207606981.950001</v>
      </c>
      <c r="E40" s="119">
        <f t="shared" si="4"/>
        <v>0</v>
      </c>
      <c r="F40" s="119">
        <v>41785000</v>
      </c>
      <c r="G40" s="446">
        <f>(5980722/6938009)*J25</f>
        <v>5980721137.9771919</v>
      </c>
      <c r="H40" s="446">
        <f t="shared" si="6"/>
        <v>16230113119.927193</v>
      </c>
      <c r="I40" s="120">
        <f t="shared" si="5"/>
        <v>0.62893011937280885</v>
      </c>
      <c r="J40" s="121">
        <f t="shared" si="7"/>
        <v>0.37106988062719115</v>
      </c>
      <c r="K40" s="12"/>
      <c r="L40" s="4"/>
    </row>
    <row r="41" spans="1:12" ht="17.5">
      <c r="A41" s="103" t="str">
        <f t="shared" si="2"/>
        <v>Middlesex Water Company</v>
      </c>
      <c r="B41" s="91" t="str">
        <f t="shared" si="2"/>
        <v>MSEX</v>
      </c>
      <c r="C41" s="91" t="str">
        <f t="shared" si="2"/>
        <v>Water Utility</v>
      </c>
      <c r="D41" s="119">
        <f t="shared" si="3"/>
        <v>1169414020</v>
      </c>
      <c r="E41" s="119">
        <f t="shared" si="4"/>
        <v>2084000</v>
      </c>
      <c r="F41" s="119">
        <v>3700000</v>
      </c>
      <c r="G41" s="446">
        <f>(131745/133374)*J26</f>
        <v>361424065.29758424</v>
      </c>
      <c r="H41" s="446">
        <f t="shared" si="6"/>
        <v>1536622085.2975843</v>
      </c>
      <c r="I41" s="120">
        <f t="shared" si="5"/>
        <v>0.76102903322096249</v>
      </c>
      <c r="J41" s="121">
        <f t="shared" si="7"/>
        <v>0.23897096677903742</v>
      </c>
      <c r="K41" s="12"/>
      <c r="L41" s="4"/>
    </row>
    <row r="42" spans="1:12" ht="17.5">
      <c r="A42" s="103" t="str">
        <f t="shared" si="2"/>
        <v>SJW Corporation</v>
      </c>
      <c r="B42" s="91" t="str">
        <f t="shared" si="2"/>
        <v>SJW</v>
      </c>
      <c r="C42" s="91" t="str">
        <f t="shared" si="2"/>
        <v>Water Utility</v>
      </c>
      <c r="D42" s="119">
        <f t="shared" si="3"/>
        <v>2102310212.6000001</v>
      </c>
      <c r="E42" s="119">
        <f t="shared" si="4"/>
        <v>0</v>
      </c>
      <c r="F42" s="119">
        <v>0</v>
      </c>
      <c r="G42" s="446">
        <v>1394412000</v>
      </c>
      <c r="H42" s="446">
        <f t="shared" si="6"/>
        <v>3496722212.6000004</v>
      </c>
      <c r="I42" s="120">
        <f t="shared" si="5"/>
        <v>0.60122311261231698</v>
      </c>
      <c r="J42" s="121">
        <f t="shared" si="7"/>
        <v>0.39877688738768297</v>
      </c>
      <c r="K42" s="12"/>
      <c r="L42" s="4"/>
    </row>
    <row r="43" spans="1:12" ht="18" thickBot="1">
      <c r="A43" s="122"/>
      <c r="B43" s="109"/>
      <c r="C43" s="109"/>
      <c r="D43" s="109"/>
      <c r="E43" s="109"/>
      <c r="F43" s="109"/>
      <c r="G43" s="109"/>
      <c r="H43" s="109"/>
      <c r="I43" s="109"/>
      <c r="J43" s="123"/>
      <c r="K43" s="12"/>
    </row>
    <row r="44" spans="1:12" ht="17.5">
      <c r="A44" s="12"/>
      <c r="B44" s="12"/>
      <c r="C44" s="12"/>
      <c r="D44" s="12"/>
      <c r="E44" s="12"/>
      <c r="F44" s="12"/>
      <c r="G44" s="12"/>
      <c r="H44" s="124" t="s">
        <v>45</v>
      </c>
      <c r="I44" s="127">
        <f>MAX(I37:I42)</f>
        <v>0.84125310689398269</v>
      </c>
      <c r="J44" s="127">
        <f>MAX(J37:J42)</f>
        <v>0.39877688738768297</v>
      </c>
      <c r="K44" s="12"/>
    </row>
    <row r="45" spans="1:12" ht="17.5">
      <c r="E45" s="12" t="s">
        <v>0</v>
      </c>
      <c r="G45" s="12" t="s">
        <v>0</v>
      </c>
      <c r="H45" s="449" t="s">
        <v>46</v>
      </c>
      <c r="I45" s="450">
        <f>MIN(I37:I42)</f>
        <v>0.60122311261231698</v>
      </c>
      <c r="J45" s="450">
        <f>MIN(J37:J42)</f>
        <v>0.15874689310601731</v>
      </c>
      <c r="K45" s="12"/>
    </row>
    <row r="46" spans="1:12" ht="17.5">
      <c r="E46" s="125"/>
      <c r="F46" s="326" t="s">
        <v>0</v>
      </c>
      <c r="G46" s="12" t="s">
        <v>0</v>
      </c>
      <c r="H46" s="14" t="s">
        <v>18</v>
      </c>
      <c r="I46" s="126">
        <f>MEDIAN(I37:I42)</f>
        <v>0.7226832369428442</v>
      </c>
      <c r="J46" s="127">
        <f>MEDIAN(J37:J42)</f>
        <v>0.2773167630571558</v>
      </c>
      <c r="K46" s="12"/>
    </row>
    <row r="47" spans="1:12" ht="17.5">
      <c r="E47" s="327" t="s">
        <v>0</v>
      </c>
      <c r="F47" s="326" t="s">
        <v>0</v>
      </c>
      <c r="G47" s="12" t="s">
        <v>0</v>
      </c>
      <c r="H47" s="14" t="s">
        <v>409</v>
      </c>
      <c r="I47" s="126">
        <f>AVERAGE(I37:I42)</f>
        <v>0.71296697433096001</v>
      </c>
      <c r="J47" s="127">
        <f>AVERAGE(J37:J42)</f>
        <v>0.28703302566904004</v>
      </c>
      <c r="K47" s="12"/>
    </row>
    <row r="48" spans="1:12" ht="18" thickBot="1">
      <c r="E48" s="125"/>
      <c r="G48" s="12"/>
      <c r="H48" s="12"/>
      <c r="I48" s="62"/>
      <c r="J48" s="62"/>
      <c r="K48" s="12"/>
    </row>
    <row r="49" spans="1:11" ht="26" thickBot="1">
      <c r="E49" s="125"/>
      <c r="G49" s="12"/>
      <c r="H49" s="215" t="s">
        <v>211</v>
      </c>
      <c r="I49" s="328">
        <v>0.71</v>
      </c>
      <c r="J49" s="329">
        <v>0.28999999999999998</v>
      </c>
      <c r="K49" s="12"/>
    </row>
    <row r="50" spans="1:11" ht="17.5">
      <c r="E50" s="125"/>
      <c r="F50" s="12"/>
      <c r="G50" s="12"/>
      <c r="H50" s="12"/>
      <c r="I50" s="62"/>
      <c r="J50" s="62" t="s">
        <v>0</v>
      </c>
      <c r="K50" s="12"/>
    </row>
    <row r="51" spans="1:11" ht="17">
      <c r="E51" s="125"/>
      <c r="F51" s="12"/>
      <c r="G51" s="12"/>
      <c r="H51" s="12"/>
      <c r="I51" s="12"/>
      <c r="J51" s="12"/>
      <c r="K51" s="12"/>
    </row>
    <row r="52" spans="1:11" ht="17">
      <c r="E52" s="125"/>
      <c r="F52" s="12"/>
      <c r="G52" s="12"/>
      <c r="H52" s="12"/>
      <c r="I52" s="12"/>
      <c r="J52" s="12"/>
      <c r="K52" s="12"/>
    </row>
    <row r="53" spans="1:11" ht="26">
      <c r="A53" s="22" t="s">
        <v>71</v>
      </c>
      <c r="B53" s="12"/>
      <c r="C53" s="76"/>
      <c r="D53" s="129"/>
      <c r="E53" s="125"/>
      <c r="F53" s="12"/>
      <c r="G53" s="12"/>
      <c r="H53" s="12"/>
      <c r="I53" s="12"/>
      <c r="J53" s="12"/>
      <c r="K53" s="12"/>
    </row>
    <row r="54" spans="1:11" ht="17">
      <c r="A54" s="87" t="s">
        <v>54</v>
      </c>
      <c r="B54" s="12"/>
      <c r="C54" s="76"/>
      <c r="D54" s="129"/>
      <c r="E54" s="125"/>
      <c r="F54" s="12"/>
      <c r="G54" s="12"/>
      <c r="H54" s="12"/>
      <c r="I54" s="12"/>
      <c r="J54" s="12"/>
      <c r="K54" s="12"/>
    </row>
    <row r="55" spans="1:11" ht="17">
      <c r="A55" s="12" t="s">
        <v>155</v>
      </c>
    </row>
    <row r="56" spans="1:11" ht="17">
      <c r="A56" s="12" t="s">
        <v>153</v>
      </c>
    </row>
    <row r="57" spans="1:11" ht="17">
      <c r="A57" s="12" t="s">
        <v>154</v>
      </c>
    </row>
    <row r="58" spans="1:11" ht="17">
      <c r="A58" s="12" t="s">
        <v>315</v>
      </c>
    </row>
    <row r="59" spans="1:11" ht="17">
      <c r="A59" s="12" t="s">
        <v>367</v>
      </c>
    </row>
    <row r="61" spans="1:11" ht="26">
      <c r="A61" s="288" t="s">
        <v>316</v>
      </c>
    </row>
    <row r="62" spans="1:11" ht="17.25" customHeight="1">
      <c r="A62" s="287"/>
    </row>
    <row r="63" spans="1:11" ht="17.5">
      <c r="A63" s="151" t="s">
        <v>0</v>
      </c>
    </row>
    <row r="64" spans="1:11" ht="17">
      <c r="A64" s="12"/>
    </row>
    <row r="65" spans="1:1" ht="17">
      <c r="A65" s="12"/>
    </row>
    <row r="66" spans="1:1" ht="17">
      <c r="A66" s="12"/>
    </row>
    <row r="67" spans="1:1" ht="26">
      <c r="A67" s="288" t="s">
        <v>317</v>
      </c>
    </row>
    <row r="68" spans="1:1" ht="20.25" customHeight="1">
      <c r="A68" s="287"/>
    </row>
    <row r="69" spans="1:1" ht="17.5">
      <c r="A69" s="151" t="s">
        <v>0</v>
      </c>
    </row>
    <row r="70" spans="1:1" ht="17.5">
      <c r="A70" s="151" t="s">
        <v>0</v>
      </c>
    </row>
    <row r="71" spans="1:1" ht="17">
      <c r="A71" s="12"/>
    </row>
    <row r="72" spans="1:1" ht="17">
      <c r="A72" s="12"/>
    </row>
  </sheetData>
  <pageMargins left="0.25" right="0.25" top="0.75" bottom="0.75" header="0.3" footer="0.3"/>
  <pageSetup scale="38" orientation="landscape" r:id="rId1"/>
  <rowBreaks count="1" manualBreakCount="1">
    <brk id="49" max="11" man="1"/>
  </rowBreaks>
  <colBreaks count="1" manualBreakCount="1">
    <brk id="11" max="75"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1FF50-7DB7-41D1-AD2F-655311479817}">
  <sheetPr>
    <tabColor rgb="FF92D050"/>
    <pageSetUpPr fitToPage="1"/>
  </sheetPr>
  <dimension ref="A1:J58"/>
  <sheetViews>
    <sheetView view="pageBreakPreview" topLeftCell="A12" zoomScale="70" zoomScaleNormal="80" zoomScaleSheetLayoutView="70" zoomScalePageLayoutView="70" workbookViewId="0">
      <pane xSplit="1" topLeftCell="B1" activePane="topRight" state="frozen"/>
      <selection pane="topRight" activeCell="C52" sqref="C52"/>
    </sheetView>
  </sheetViews>
  <sheetFormatPr defaultRowHeight="14.5"/>
  <cols>
    <col min="1" max="1" width="62.453125" customWidth="1"/>
    <col min="2" max="2" width="11.54296875" bestFit="1" customWidth="1"/>
    <col min="3" max="3" width="20.453125" bestFit="1" customWidth="1"/>
    <col min="4" max="4" width="30.1796875" customWidth="1"/>
    <col min="5" max="5" width="28" customWidth="1"/>
    <col min="6" max="6" width="29.1796875" customWidth="1"/>
    <col min="7" max="7" width="23.453125" customWidth="1"/>
    <col min="8" max="8" width="12.81640625" customWidth="1"/>
    <col min="9" max="9" width="25.81640625" bestFit="1" customWidth="1"/>
    <col min="10" max="10" width="30.1796875" bestFit="1" customWidth="1"/>
    <col min="11" max="11" width="9.1796875" customWidth="1"/>
  </cols>
  <sheetData>
    <row r="1" spans="1:9" ht="25.5">
      <c r="A1" s="23" t="s">
        <v>1</v>
      </c>
      <c r="B1" s="12"/>
      <c r="C1" s="12"/>
      <c r="D1" s="12"/>
      <c r="E1" s="12"/>
      <c r="F1" s="12"/>
      <c r="G1" s="12"/>
      <c r="H1" s="12"/>
    </row>
    <row r="2" spans="1:9" ht="17.5">
      <c r="A2" s="24" t="s">
        <v>9</v>
      </c>
      <c r="B2" s="12"/>
      <c r="C2" s="12"/>
      <c r="D2" s="12"/>
      <c r="E2" s="12"/>
      <c r="F2" s="12"/>
      <c r="G2" s="12"/>
      <c r="H2" s="12"/>
    </row>
    <row r="3" spans="1:9" ht="17">
      <c r="A3" s="25" t="s">
        <v>452</v>
      </c>
      <c r="B3" s="12"/>
      <c r="C3" s="12"/>
      <c r="D3" s="12"/>
      <c r="E3" s="12"/>
      <c r="F3" s="12"/>
      <c r="G3" s="12"/>
      <c r="H3" s="12"/>
    </row>
    <row r="4" spans="1:9" ht="17">
      <c r="A4" s="25"/>
      <c r="B4" s="12"/>
      <c r="C4" s="12"/>
      <c r="D4" s="12"/>
      <c r="E4" s="12"/>
      <c r="F4" s="214" t="s">
        <v>0</v>
      </c>
      <c r="G4" s="12"/>
      <c r="H4" s="12"/>
    </row>
    <row r="5" spans="1:9" ht="17">
      <c r="B5" s="12"/>
      <c r="C5" s="12"/>
      <c r="D5" s="12"/>
      <c r="E5" s="26"/>
      <c r="F5" s="214" t="s">
        <v>0</v>
      </c>
      <c r="G5" s="12"/>
      <c r="H5" s="12" t="s">
        <v>0</v>
      </c>
    </row>
    <row r="6" spans="1:9" ht="17">
      <c r="A6" s="87"/>
      <c r="B6" s="34"/>
      <c r="C6" s="34"/>
      <c r="D6" s="34"/>
      <c r="E6" s="34"/>
      <c r="F6" s="34"/>
      <c r="G6" s="14"/>
      <c r="H6" s="86"/>
      <c r="I6" s="3"/>
    </row>
    <row r="7" spans="1:9" ht="17">
      <c r="A7" s="43"/>
      <c r="B7" s="43"/>
      <c r="C7" s="43"/>
      <c r="D7" s="43"/>
      <c r="E7" s="43"/>
      <c r="F7" s="43"/>
      <c r="G7" s="43"/>
      <c r="H7" s="43"/>
      <c r="I7" s="2"/>
    </row>
    <row r="8" spans="1:9" ht="17.5" thickBot="1">
      <c r="A8" s="43"/>
      <c r="B8" s="43"/>
      <c r="C8" s="43"/>
      <c r="D8" s="88"/>
      <c r="E8" s="28"/>
      <c r="F8" s="88"/>
      <c r="H8" s="43"/>
      <c r="I8" s="2"/>
    </row>
    <row r="9" spans="1:9" ht="26" thickBot="1">
      <c r="A9" s="27" t="str">
        <f>+'S&amp;D'!A12</f>
        <v>Water Utility Companies (Private)</v>
      </c>
      <c r="B9" s="43"/>
      <c r="C9" s="43"/>
      <c r="D9" s="43"/>
      <c r="E9" s="31" t="s">
        <v>306</v>
      </c>
      <c r="F9" s="43"/>
      <c r="H9" s="12"/>
    </row>
    <row r="10" spans="1:9" ht="21.5" thickBot="1">
      <c r="A10" s="30"/>
      <c r="B10" s="43"/>
      <c r="C10" s="43"/>
      <c r="D10" s="88"/>
      <c r="E10" s="36" t="s">
        <v>453</v>
      </c>
      <c r="F10" s="88"/>
      <c r="H10" s="12"/>
    </row>
    <row r="11" spans="1:9" ht="21">
      <c r="A11" s="30"/>
      <c r="B11" s="43"/>
      <c r="C11" s="43"/>
      <c r="D11" s="43"/>
      <c r="E11" s="34"/>
      <c r="F11" s="43"/>
      <c r="H11" s="12"/>
    </row>
    <row r="12" spans="1:9" ht="21">
      <c r="A12" s="30"/>
      <c r="B12" s="43"/>
      <c r="C12" s="43"/>
      <c r="D12" s="43"/>
      <c r="E12" s="34"/>
      <c r="F12" s="43"/>
      <c r="H12" s="12"/>
    </row>
    <row r="13" spans="1:9" ht="17">
      <c r="B13" s="43"/>
      <c r="C13" s="43"/>
      <c r="D13" s="43"/>
      <c r="E13" s="34"/>
      <c r="F13" s="43"/>
      <c r="H13" s="12"/>
    </row>
    <row r="14" spans="1:9" ht="21">
      <c r="A14" s="30"/>
      <c r="B14" s="43"/>
      <c r="C14" s="43"/>
      <c r="D14" s="43"/>
      <c r="E14" s="13" t="s">
        <v>0</v>
      </c>
      <c r="F14" s="43"/>
      <c r="H14" s="12"/>
    </row>
    <row r="15" spans="1:9" ht="17.5" thickBot="1">
      <c r="A15" s="41" t="s">
        <v>0</v>
      </c>
      <c r="B15" s="41" t="s">
        <v>0</v>
      </c>
      <c r="C15" s="41" t="s">
        <v>0</v>
      </c>
      <c r="D15" s="41"/>
      <c r="E15" s="41"/>
      <c r="F15" s="41"/>
      <c r="H15" s="12"/>
    </row>
    <row r="16" spans="1:9" ht="17.5">
      <c r="A16" s="270"/>
      <c r="B16" s="271"/>
      <c r="C16" s="272"/>
      <c r="D16" s="255" t="s">
        <v>0</v>
      </c>
      <c r="E16" s="256" t="s">
        <v>0</v>
      </c>
      <c r="F16" s="255" t="s">
        <v>0</v>
      </c>
      <c r="H16" s="12"/>
    </row>
    <row r="17" spans="1:10" ht="17.5">
      <c r="A17" s="89" t="s">
        <v>0</v>
      </c>
      <c r="B17" s="90" t="s">
        <v>3</v>
      </c>
      <c r="C17" s="91" t="s">
        <v>5</v>
      </c>
      <c r="D17" s="92" t="s">
        <v>0</v>
      </c>
      <c r="E17" s="257" t="s">
        <v>0</v>
      </c>
      <c r="F17" s="92" t="s">
        <v>298</v>
      </c>
      <c r="H17" s="12"/>
    </row>
    <row r="18" spans="1:10" ht="17.5">
      <c r="A18" s="89"/>
      <c r="B18" s="90" t="s">
        <v>4</v>
      </c>
      <c r="C18" s="91" t="s">
        <v>6</v>
      </c>
      <c r="D18" s="92" t="s">
        <v>307</v>
      </c>
      <c r="E18" s="257" t="s">
        <v>307</v>
      </c>
      <c r="F18" s="92" t="s">
        <v>129</v>
      </c>
      <c r="H18" s="12"/>
    </row>
    <row r="19" spans="1:10" ht="18" thickBot="1">
      <c r="A19" s="95" t="s">
        <v>2</v>
      </c>
      <c r="B19" s="96" t="s">
        <v>0</v>
      </c>
      <c r="C19" s="97" t="s">
        <v>0</v>
      </c>
      <c r="D19" s="310" t="s">
        <v>296</v>
      </c>
      <c r="E19" s="309" t="s">
        <v>60</v>
      </c>
      <c r="F19" s="96" t="s">
        <v>0</v>
      </c>
      <c r="H19" s="12"/>
    </row>
    <row r="20" spans="1:10" ht="17">
      <c r="A20" s="311" t="s">
        <v>7</v>
      </c>
      <c r="B20" s="291" t="s">
        <v>7</v>
      </c>
      <c r="C20" s="312" t="s">
        <v>7</v>
      </c>
      <c r="D20" s="291" t="s">
        <v>7</v>
      </c>
      <c r="E20" s="117" t="s">
        <v>297</v>
      </c>
      <c r="F20" s="101"/>
      <c r="H20" s="12"/>
    </row>
    <row r="21" spans="1:10" ht="17.5">
      <c r="A21" s="89"/>
      <c r="B21" s="90"/>
      <c r="C21" s="91"/>
      <c r="D21" s="90"/>
      <c r="E21" s="258"/>
      <c r="F21" s="90"/>
      <c r="H21" s="12"/>
    </row>
    <row r="22" spans="1:10" ht="17.5">
      <c r="A22" s="103" t="str">
        <f>+'S&amp;D'!A22</f>
        <v>American States Water Company</v>
      </c>
      <c r="B22" s="81" t="str">
        <f>+'S&amp;D'!B22</f>
        <v>AWR</v>
      </c>
      <c r="C22" s="91" t="str">
        <f>+'S&amp;D'!C22</f>
        <v>Water Utility</v>
      </c>
      <c r="D22" s="273">
        <f>+'S&amp;D'!D37</f>
        <v>2973980817.04</v>
      </c>
      <c r="E22" s="274">
        <v>776109000</v>
      </c>
      <c r="F22" s="105">
        <f>+D22/E22</f>
        <v>3.8319112612274822</v>
      </c>
      <c r="H22" s="12"/>
    </row>
    <row r="23" spans="1:10" ht="17.5">
      <c r="A23" s="103" t="str">
        <f>+'S&amp;D'!A23</f>
        <v>American Water Works Company Inc</v>
      </c>
      <c r="B23" s="81" t="str">
        <f>+'S&amp;D'!B23</f>
        <v>AWK</v>
      </c>
      <c r="C23" s="91" t="str">
        <f>+'S&amp;D'!C23</f>
        <v>Water Utility</v>
      </c>
      <c r="D23" s="273">
        <f>+'S&amp;D'!D38</f>
        <v>25702426030.990002</v>
      </c>
      <c r="E23" s="274">
        <v>9797000000</v>
      </c>
      <c r="F23" s="105">
        <f>+D23/E23</f>
        <v>2.6234996459109934</v>
      </c>
      <c r="H23" s="12"/>
    </row>
    <row r="24" spans="1:10" ht="17.5">
      <c r="A24" s="103" t="str">
        <f>+'S&amp;D'!A24</f>
        <v xml:space="preserve">California Water Service Group </v>
      </c>
      <c r="B24" s="81" t="str">
        <f>+'S&amp;D'!B24</f>
        <v>CWT</v>
      </c>
      <c r="C24" s="91" t="str">
        <f>+'S&amp;D'!C24</f>
        <v>Water Utility</v>
      </c>
      <c r="D24" s="273">
        <f>+'S&amp;D'!D39</f>
        <v>2994143880</v>
      </c>
      <c r="E24" s="274">
        <v>1430312000</v>
      </c>
      <c r="F24" s="105">
        <f t="shared" ref="F24:F27" si="0">+D24/E24</f>
        <v>2.0933501781429507</v>
      </c>
      <c r="H24" s="12"/>
    </row>
    <row r="25" spans="1:10" ht="17.5">
      <c r="A25" s="103" t="str">
        <f>+'S&amp;D'!A25</f>
        <v>Essential Utilities, Inc.</v>
      </c>
      <c r="B25" s="81" t="str">
        <f>+'S&amp;D'!B25</f>
        <v>WTRG</v>
      </c>
      <c r="C25" s="91" t="str">
        <f>+'S&amp;D'!C25</f>
        <v>Water Utility</v>
      </c>
      <c r="D25" s="273">
        <f>+'S&amp;D'!D40</f>
        <v>10207606981.950001</v>
      </c>
      <c r="E25" s="274">
        <v>5896183000</v>
      </c>
      <c r="F25" s="105">
        <f t="shared" si="0"/>
        <v>1.7312228914791146</v>
      </c>
      <c r="H25" s="12"/>
    </row>
    <row r="26" spans="1:10" ht="17.5">
      <c r="A26" s="103" t="str">
        <f>+'S&amp;D'!A26</f>
        <v>Middlesex Water Company</v>
      </c>
      <c r="B26" s="81" t="str">
        <f>+'S&amp;D'!B26</f>
        <v>MSEX</v>
      </c>
      <c r="C26" s="91" t="str">
        <f>+'S&amp;D'!C26</f>
        <v>Water Utility</v>
      </c>
      <c r="D26" s="273">
        <f>+'S&amp;D'!D41</f>
        <v>1169414020</v>
      </c>
      <c r="E26" s="274">
        <v>422991000</v>
      </c>
      <c r="F26" s="105">
        <f t="shared" si="0"/>
        <v>2.7646309732358372</v>
      </c>
      <c r="H26" s="12"/>
    </row>
    <row r="27" spans="1:10" ht="18" thickBot="1">
      <c r="A27" s="316" t="str">
        <f>+'S&amp;D'!A27</f>
        <v>SJW Corporation</v>
      </c>
      <c r="B27" s="82" t="str">
        <f>+'S&amp;D'!B27</f>
        <v>SJW</v>
      </c>
      <c r="C27" s="97" t="str">
        <f>+'S&amp;D'!C27</f>
        <v>Water Utility</v>
      </c>
      <c r="D27" s="317">
        <f>+'S&amp;D'!D42</f>
        <v>2102310212.6000001</v>
      </c>
      <c r="E27" s="274">
        <v>1233397000</v>
      </c>
      <c r="F27" s="105">
        <f t="shared" si="0"/>
        <v>1.7044878596267059</v>
      </c>
      <c r="H27" s="12"/>
      <c r="J27" s="10" t="s">
        <v>0</v>
      </c>
    </row>
    <row r="28" spans="1:10" ht="27" customHeight="1" thickBot="1">
      <c r="A28" s="122"/>
      <c r="B28" s="109"/>
      <c r="C28" s="109"/>
      <c r="D28" s="123"/>
      <c r="E28" s="315" t="s">
        <v>305</v>
      </c>
      <c r="F28" s="216">
        <f>AVERAGE(F22:F27)</f>
        <v>2.4581838016038473</v>
      </c>
      <c r="H28" s="12"/>
    </row>
    <row r="29" spans="1:10" ht="17.5">
      <c r="A29" s="107"/>
      <c r="B29" s="107"/>
      <c r="C29" s="107"/>
      <c r="D29" s="107"/>
      <c r="E29" s="267"/>
      <c r="F29" s="269"/>
      <c r="H29" s="12"/>
    </row>
    <row r="30" spans="1:10" ht="17.5">
      <c r="A30" s="107"/>
      <c r="B30" s="107"/>
      <c r="C30" s="107"/>
      <c r="D30" s="107"/>
      <c r="E30" s="267"/>
      <c r="F30" s="269"/>
      <c r="H30" s="12"/>
    </row>
    <row r="31" spans="1:10" ht="17.5">
      <c r="A31" s="107"/>
      <c r="B31" s="107"/>
      <c r="C31" s="107"/>
      <c r="D31" s="107"/>
      <c r="E31" s="267"/>
      <c r="F31" s="269"/>
      <c r="H31" s="12"/>
    </row>
    <row r="32" spans="1:10" ht="18" thickBot="1">
      <c r="A32" s="107"/>
      <c r="B32" s="107"/>
      <c r="C32" s="107"/>
      <c r="D32" s="107"/>
      <c r="E32" s="107"/>
      <c r="F32" s="107"/>
      <c r="H32" s="12"/>
    </row>
    <row r="33" spans="1:8" ht="17.5">
      <c r="A33" s="270"/>
      <c r="B33" s="271"/>
      <c r="C33" s="272"/>
      <c r="D33" s="255" t="s">
        <v>0</v>
      </c>
      <c r="E33" s="256" t="s">
        <v>0</v>
      </c>
      <c r="F33" s="255" t="s">
        <v>0</v>
      </c>
      <c r="H33" s="12"/>
    </row>
    <row r="34" spans="1:8" ht="17.5">
      <c r="A34" s="89" t="s">
        <v>0</v>
      </c>
      <c r="B34" s="90" t="s">
        <v>3</v>
      </c>
      <c r="C34" s="91" t="s">
        <v>5</v>
      </c>
      <c r="D34" s="92" t="s">
        <v>0</v>
      </c>
      <c r="E34" s="257" t="s">
        <v>0</v>
      </c>
      <c r="F34" s="92" t="s">
        <v>298</v>
      </c>
      <c r="H34" s="12"/>
    </row>
    <row r="35" spans="1:8" ht="17.5">
      <c r="A35" s="89"/>
      <c r="B35" s="90" t="s">
        <v>4</v>
      </c>
      <c r="C35" s="91" t="s">
        <v>6</v>
      </c>
      <c r="D35" s="92" t="s">
        <v>299</v>
      </c>
      <c r="E35" s="257" t="s">
        <v>299</v>
      </c>
      <c r="F35" s="92" t="s">
        <v>129</v>
      </c>
    </row>
    <row r="36" spans="1:8" ht="18" thickBot="1">
      <c r="A36" s="95" t="s">
        <v>2</v>
      </c>
      <c r="B36" s="96" t="s">
        <v>0</v>
      </c>
      <c r="C36" s="97" t="s">
        <v>0</v>
      </c>
      <c r="D36" s="310" t="s">
        <v>296</v>
      </c>
      <c r="E36" s="309" t="s">
        <v>60</v>
      </c>
      <c r="F36" s="96" t="s">
        <v>0</v>
      </c>
    </row>
    <row r="37" spans="1:8" ht="16">
      <c r="A37" s="311" t="s">
        <v>7</v>
      </c>
      <c r="B37" s="291" t="s">
        <v>7</v>
      </c>
      <c r="C37" s="312" t="s">
        <v>7</v>
      </c>
      <c r="D37" s="291" t="s">
        <v>297</v>
      </c>
      <c r="E37" s="117" t="s">
        <v>297</v>
      </c>
      <c r="F37" s="101"/>
    </row>
    <row r="38" spans="1:8" ht="17.5">
      <c r="A38" s="89"/>
      <c r="B38" s="90"/>
      <c r="C38" s="91"/>
      <c r="D38" s="90"/>
      <c r="E38" s="258"/>
      <c r="F38" s="90"/>
    </row>
    <row r="39" spans="1:8" ht="17.5">
      <c r="A39" s="103" t="str">
        <f t="shared" ref="A39:C44" si="1">+A22</f>
        <v>American States Water Company</v>
      </c>
      <c r="B39" s="81" t="str">
        <f t="shared" si="1"/>
        <v>AWR</v>
      </c>
      <c r="C39" s="91" t="str">
        <f t="shared" si="1"/>
        <v>Water Utility</v>
      </c>
      <c r="D39" s="273">
        <f>+'S&amp;D'!G37</f>
        <v>553198777.14935052</v>
      </c>
      <c r="E39" s="274">
        <f>+'S&amp;D'!J22</f>
        <v>575908000</v>
      </c>
      <c r="F39" s="105">
        <f>+D39/E39</f>
        <v>0.96056796771246544</v>
      </c>
    </row>
    <row r="40" spans="1:8" ht="17.5">
      <c r="A40" s="103" t="str">
        <f t="shared" si="1"/>
        <v>American Water Works Company Inc</v>
      </c>
      <c r="B40" s="81" t="str">
        <f t="shared" si="1"/>
        <v>AWK</v>
      </c>
      <c r="C40" s="91" t="str">
        <f t="shared" si="1"/>
        <v>Water Utility</v>
      </c>
      <c r="D40" s="273">
        <f>+'S&amp;D'!G38</f>
        <v>11376000000</v>
      </c>
      <c r="E40" s="274">
        <f>+'S&amp;D'!J23</f>
        <v>12190000000</v>
      </c>
      <c r="F40" s="105">
        <f>+D40/E40</f>
        <v>0.93322395406070546</v>
      </c>
    </row>
    <row r="41" spans="1:8" ht="17.5">
      <c r="A41" s="103" t="str">
        <f t="shared" si="1"/>
        <v xml:space="preserve">California Water Service Group </v>
      </c>
      <c r="B41" s="81" t="str">
        <f t="shared" si="1"/>
        <v>CWT</v>
      </c>
      <c r="C41" s="91" t="str">
        <f t="shared" si="1"/>
        <v>Water Utility</v>
      </c>
      <c r="D41" s="273">
        <f>+'S&amp;D'!G39</f>
        <v>965444000</v>
      </c>
      <c r="E41" s="274">
        <f>+'S&amp;D'!J24</f>
        <v>1053440000</v>
      </c>
      <c r="F41" s="105">
        <f t="shared" ref="F41:F44" si="2">+D41/E41</f>
        <v>0.91646795261239367</v>
      </c>
    </row>
    <row r="42" spans="1:8" ht="17.5">
      <c r="A42" s="103" t="str">
        <f t="shared" si="1"/>
        <v>Essential Utilities, Inc.</v>
      </c>
      <c r="B42" s="81" t="str">
        <f t="shared" si="1"/>
        <v>WTRG</v>
      </c>
      <c r="C42" s="91" t="str">
        <f t="shared" si="1"/>
        <v>Water Utility</v>
      </c>
      <c r="D42" s="273">
        <f>+'S&amp;D'!G40</f>
        <v>5980721137.9771919</v>
      </c>
      <c r="E42" s="274">
        <f>+'S&amp;D'!J25</f>
        <v>6938008000</v>
      </c>
      <c r="F42" s="105">
        <f t="shared" si="2"/>
        <v>0.86202280798425024</v>
      </c>
    </row>
    <row r="43" spans="1:8" ht="17.5">
      <c r="A43" s="103" t="str">
        <f t="shared" si="1"/>
        <v>Middlesex Water Company</v>
      </c>
      <c r="B43" s="81" t="str">
        <f t="shared" si="1"/>
        <v>MSEX</v>
      </c>
      <c r="C43" s="91" t="str">
        <f t="shared" si="1"/>
        <v>Water Utility</v>
      </c>
      <c r="D43" s="273">
        <f>+'S&amp;D'!G41</f>
        <v>361424065.29758424</v>
      </c>
      <c r="E43" s="274">
        <f>+'S&amp;D'!J26</f>
        <v>365893000</v>
      </c>
      <c r="F43" s="105">
        <f t="shared" si="2"/>
        <v>0.98778622520131365</v>
      </c>
    </row>
    <row r="44" spans="1:8" ht="18" thickBot="1">
      <c r="A44" s="316" t="str">
        <f t="shared" si="1"/>
        <v>SJW Corporation</v>
      </c>
      <c r="B44" s="82" t="str">
        <f t="shared" si="1"/>
        <v>SJW</v>
      </c>
      <c r="C44" s="97" t="str">
        <f t="shared" si="1"/>
        <v>Water Utility</v>
      </c>
      <c r="D44" s="317">
        <f>+'S&amp;D'!G42</f>
        <v>1394412000</v>
      </c>
      <c r="E44" s="274">
        <f>+'S&amp;D'!J27</f>
        <v>1575674000</v>
      </c>
      <c r="F44" s="105">
        <f t="shared" si="2"/>
        <v>0.88496224472828766</v>
      </c>
    </row>
    <row r="45" spans="1:8" ht="27.75" customHeight="1" thickBot="1">
      <c r="A45" s="313"/>
      <c r="B45" s="158"/>
      <c r="C45" s="158"/>
      <c r="D45" s="314"/>
      <c r="E45" s="315" t="s">
        <v>305</v>
      </c>
      <c r="F45" s="216">
        <f>AVERAGE(F39:F44)</f>
        <v>0.92417185871656926</v>
      </c>
    </row>
    <row r="50" spans="1:6">
      <c r="C50" s="259" t="s">
        <v>300</v>
      </c>
      <c r="D50" s="259" t="s">
        <v>301</v>
      </c>
      <c r="E50" s="259"/>
    </row>
    <row r="51" spans="1:6">
      <c r="A51" s="261"/>
      <c r="B51" s="261"/>
      <c r="C51" s="260" t="s">
        <v>35</v>
      </c>
      <c r="D51" s="260" t="s">
        <v>302</v>
      </c>
      <c r="E51" s="260" t="s">
        <v>303</v>
      </c>
    </row>
    <row r="52" spans="1:6" ht="17.5">
      <c r="A52" s="91" t="s">
        <v>39</v>
      </c>
      <c r="B52" s="144" t="s">
        <v>0</v>
      </c>
      <c r="C52" s="144">
        <f>+'Yield CapRate'!C23</f>
        <v>0.71</v>
      </c>
      <c r="D52" s="265">
        <f>+F28</f>
        <v>2.4581838016038473</v>
      </c>
      <c r="E52" s="266">
        <f>+C52*D52</f>
        <v>1.7453104991387316</v>
      </c>
      <c r="F52" s="145" t="s">
        <v>0</v>
      </c>
    </row>
    <row r="53" spans="1:6" ht="17.5">
      <c r="A53" s="262" t="s">
        <v>41</v>
      </c>
      <c r="B53" s="263" t="str">
        <f>'S&amp;D'!I34</f>
        <v xml:space="preserve"> </v>
      </c>
      <c r="C53" s="263">
        <f>+'Yield CapRate'!C25</f>
        <v>0.28999999999999998</v>
      </c>
      <c r="D53" s="264">
        <f>+F45</f>
        <v>0.92417185871656926</v>
      </c>
      <c r="E53" s="264">
        <f>+C53*D53</f>
        <v>0.26800983902780506</v>
      </c>
      <c r="F53" s="145" t="s">
        <v>0</v>
      </c>
    </row>
    <row r="54" spans="1:6">
      <c r="D54" s="267" t="s">
        <v>304</v>
      </c>
      <c r="E54" s="268">
        <f>+E52+E53</f>
        <v>2.0133203381665368</v>
      </c>
    </row>
    <row r="57" spans="1:6" ht="21">
      <c r="A57" s="30" t="s">
        <v>446</v>
      </c>
    </row>
    <row r="58" spans="1:6" ht="21">
      <c r="A58" s="30" t="s">
        <v>394</v>
      </c>
    </row>
  </sheetData>
  <pageMargins left="0.25" right="0.25" top="0.75" bottom="0.75" header="0.3" footer="0.3"/>
  <pageSetup scale="48" orientation="landscape" r:id="rId1"/>
  <rowBreaks count="1" manualBreakCount="1">
    <brk id="32" max="6" man="1"/>
  </rowBreaks>
  <colBreaks count="1" manualBreakCount="1">
    <brk id="8" max="71"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1145E-BF36-4A2C-868C-9B0DC0104C72}">
  <sheetPr>
    <tabColor rgb="FF92D050"/>
  </sheetPr>
  <dimension ref="A1:L73"/>
  <sheetViews>
    <sheetView view="pageBreakPreview" topLeftCell="A9" zoomScale="70" zoomScaleNormal="80" zoomScaleSheetLayoutView="70" workbookViewId="0">
      <selection activeCell="E30" sqref="E30"/>
    </sheetView>
  </sheetViews>
  <sheetFormatPr defaultRowHeight="14.5"/>
  <cols>
    <col min="1" max="1" width="45.1796875" customWidth="1"/>
    <col min="2" max="2" width="10.81640625" bestFit="1" customWidth="1"/>
    <col min="3" max="3" width="10.7265625" customWidth="1"/>
    <col min="4" max="4" width="21.7265625" customWidth="1"/>
    <col min="5" max="5" width="22.26953125" customWidth="1"/>
    <col min="6" max="6" width="26.54296875" customWidth="1"/>
    <col min="7" max="7" width="26.453125" customWidth="1"/>
    <col min="8" max="8" width="23.81640625" customWidth="1"/>
    <col min="9" max="9" width="15" customWidth="1"/>
    <col min="10" max="10" width="14.1796875" bestFit="1" customWidth="1"/>
    <col min="11" max="11" width="16.7265625" customWidth="1"/>
    <col min="12" max="12" width="23.1796875" customWidth="1"/>
  </cols>
  <sheetData>
    <row r="1" spans="1:12" ht="25.5">
      <c r="A1" s="23" t="s">
        <v>1</v>
      </c>
      <c r="B1" s="12"/>
      <c r="C1" s="12"/>
      <c r="D1" s="12"/>
      <c r="E1" s="12"/>
      <c r="F1" s="12"/>
      <c r="G1" s="12"/>
      <c r="H1" s="12"/>
      <c r="I1" s="12"/>
      <c r="J1" s="12"/>
      <c r="K1" s="12"/>
      <c r="L1" s="12"/>
    </row>
    <row r="2" spans="1:12" ht="17.5">
      <c r="A2" s="24" t="s">
        <v>9</v>
      </c>
      <c r="B2" s="12"/>
      <c r="C2" s="12"/>
      <c r="D2" s="12"/>
      <c r="E2" s="12"/>
      <c r="F2" s="12"/>
      <c r="G2" s="12"/>
      <c r="H2" s="12"/>
      <c r="I2" s="12"/>
      <c r="J2" s="12"/>
      <c r="K2" s="12"/>
      <c r="L2" s="12"/>
    </row>
    <row r="3" spans="1:12" ht="17">
      <c r="A3" s="25" t="s">
        <v>452</v>
      </c>
      <c r="B3" s="12"/>
      <c r="C3" s="12"/>
      <c r="D3" s="12"/>
      <c r="E3" s="12"/>
      <c r="F3" s="12"/>
      <c r="G3" s="12"/>
      <c r="H3" s="12"/>
      <c r="I3" s="12"/>
      <c r="J3" s="12"/>
      <c r="K3" s="12"/>
      <c r="L3" s="12"/>
    </row>
    <row r="4" spans="1:12" ht="17">
      <c r="A4" s="25"/>
      <c r="B4" s="12"/>
      <c r="C4" s="12"/>
      <c r="D4" s="12"/>
      <c r="E4" s="12"/>
      <c r="F4" s="12"/>
      <c r="G4" s="12"/>
      <c r="H4" s="12"/>
      <c r="I4" s="12"/>
      <c r="J4" s="12"/>
      <c r="K4" s="12"/>
      <c r="L4" s="12"/>
    </row>
    <row r="5" spans="1:12" ht="17">
      <c r="A5" s="25"/>
      <c r="B5" s="12"/>
      <c r="C5" s="12"/>
      <c r="D5" s="12"/>
      <c r="E5" s="12"/>
      <c r="F5" s="12"/>
      <c r="G5" s="12"/>
      <c r="H5" s="12"/>
      <c r="I5" s="12"/>
      <c r="J5" s="12"/>
      <c r="K5" s="12"/>
      <c r="L5" s="12"/>
    </row>
    <row r="6" spans="1:12" ht="17">
      <c r="A6" s="25"/>
      <c r="B6" s="12"/>
      <c r="C6" s="12"/>
      <c r="D6" s="12"/>
      <c r="E6" s="12"/>
      <c r="F6" s="12"/>
      <c r="G6" s="12"/>
      <c r="H6" s="12"/>
      <c r="I6" s="12"/>
      <c r="J6" s="12"/>
      <c r="K6" s="12"/>
      <c r="L6" s="12"/>
    </row>
    <row r="7" spans="1:12" ht="17.5" thickBot="1">
      <c r="A7" s="12"/>
      <c r="B7" s="12"/>
      <c r="C7" s="12"/>
      <c r="D7" s="12"/>
      <c r="E7" s="12"/>
      <c r="F7" s="28"/>
      <c r="G7" s="28"/>
      <c r="H7" s="29" t="s">
        <v>0</v>
      </c>
      <c r="I7" s="12"/>
      <c r="J7" s="12"/>
      <c r="K7" s="12"/>
      <c r="L7" s="12"/>
    </row>
    <row r="8" spans="1:12" ht="26" thickBot="1">
      <c r="A8" s="280" t="str">
        <f>+'S&amp;D'!A12</f>
        <v>Water Utility Companies (Private)</v>
      </c>
      <c r="B8" s="281"/>
      <c r="C8" s="207"/>
      <c r="D8" s="12"/>
      <c r="E8" s="12"/>
      <c r="F8" s="12"/>
      <c r="G8" s="31" t="s">
        <v>75</v>
      </c>
      <c r="H8" s="12"/>
      <c r="I8" s="12"/>
      <c r="J8" s="12"/>
      <c r="K8" s="12"/>
      <c r="L8" s="12"/>
    </row>
    <row r="9" spans="1:12" ht="21">
      <c r="A9" s="30"/>
      <c r="B9" s="12"/>
      <c r="C9" s="12"/>
      <c r="D9" s="12"/>
      <c r="E9" s="12"/>
      <c r="F9" s="12"/>
      <c r="G9" s="91" t="s">
        <v>76</v>
      </c>
      <c r="H9" s="12"/>
      <c r="I9" s="12"/>
      <c r="J9" s="12"/>
      <c r="K9" s="12"/>
      <c r="L9" s="12"/>
    </row>
    <row r="10" spans="1:12" ht="18" customHeight="1" thickBot="1">
      <c r="A10" s="40" t="s">
        <v>0</v>
      </c>
      <c r="B10" s="40" t="s">
        <v>0</v>
      </c>
      <c r="C10" s="40" t="s">
        <v>0</v>
      </c>
      <c r="D10" s="12"/>
      <c r="E10" s="12"/>
      <c r="F10" s="33" t="s">
        <v>0</v>
      </c>
      <c r="G10" s="36" t="s">
        <v>453</v>
      </c>
      <c r="H10" s="33" t="s">
        <v>0</v>
      </c>
      <c r="I10" s="40" t="s">
        <v>0</v>
      </c>
      <c r="J10" s="12"/>
      <c r="K10" s="12"/>
      <c r="L10" s="12"/>
    </row>
    <row r="11" spans="1:12" ht="18" customHeight="1">
      <c r="A11" s="40"/>
      <c r="B11" s="40"/>
      <c r="C11" s="40"/>
      <c r="D11" s="12"/>
      <c r="E11" s="12"/>
      <c r="J11" s="12"/>
      <c r="K11" s="12"/>
      <c r="L11" s="12"/>
    </row>
    <row r="12" spans="1:12" ht="18" customHeight="1">
      <c r="A12" s="40"/>
      <c r="B12" s="40"/>
      <c r="C12" s="40"/>
      <c r="D12" s="12" t="s">
        <v>0</v>
      </c>
      <c r="E12" s="12" t="s">
        <v>0</v>
      </c>
      <c r="G12" s="13" t="s">
        <v>0</v>
      </c>
      <c r="J12" s="12"/>
      <c r="K12" s="12"/>
      <c r="L12" s="12" t="s">
        <v>0</v>
      </c>
    </row>
    <row r="13" spans="1:12" ht="17.5" thickBot="1">
      <c r="A13" s="33"/>
      <c r="B13" s="33"/>
      <c r="C13" s="33"/>
      <c r="D13" s="33"/>
      <c r="E13" s="36"/>
      <c r="F13" s="33"/>
      <c r="G13" s="33"/>
      <c r="H13" s="33"/>
      <c r="I13" s="33"/>
      <c r="J13" s="28"/>
      <c r="K13" s="28"/>
      <c r="L13" s="28"/>
    </row>
    <row r="14" spans="1:12" ht="15" customHeight="1" thickBot="1">
      <c r="A14" s="33" t="s">
        <v>24</v>
      </c>
      <c r="B14" s="33" t="s">
        <v>88</v>
      </c>
      <c r="C14" s="33" t="s">
        <v>89</v>
      </c>
      <c r="D14" s="41" t="s">
        <v>90</v>
      </c>
      <c r="E14" s="33" t="s">
        <v>91</v>
      </c>
      <c r="F14" s="33" t="s">
        <v>92</v>
      </c>
      <c r="G14" s="33" t="s">
        <v>93</v>
      </c>
      <c r="H14" s="33" t="s">
        <v>94</v>
      </c>
      <c r="I14" s="33" t="s">
        <v>95</v>
      </c>
      <c r="J14" s="33" t="s">
        <v>96</v>
      </c>
      <c r="K14" s="33" t="s">
        <v>97</v>
      </c>
      <c r="L14" s="33" t="s">
        <v>105</v>
      </c>
    </row>
    <row r="15" spans="1:12" ht="17">
      <c r="A15" s="34" t="s">
        <v>0</v>
      </c>
      <c r="B15" s="34" t="s">
        <v>3</v>
      </c>
      <c r="C15" s="34" t="s">
        <v>77</v>
      </c>
      <c r="D15" s="34" t="s">
        <v>80</v>
      </c>
      <c r="E15" s="34" t="s">
        <v>80</v>
      </c>
      <c r="F15" s="34" t="s">
        <v>81</v>
      </c>
      <c r="G15" s="34" t="s">
        <v>84</v>
      </c>
      <c r="H15" s="34" t="s">
        <v>86</v>
      </c>
      <c r="I15" s="34" t="s">
        <v>108</v>
      </c>
      <c r="J15" s="34" t="s">
        <v>108</v>
      </c>
      <c r="K15" s="34" t="s">
        <v>101</v>
      </c>
      <c r="L15" s="34" t="s">
        <v>103</v>
      </c>
    </row>
    <row r="16" spans="1:12" ht="17.5" thickBot="1">
      <c r="A16" s="36" t="s">
        <v>2</v>
      </c>
      <c r="B16" s="36" t="s">
        <v>4</v>
      </c>
      <c r="C16" s="36" t="s">
        <v>78</v>
      </c>
      <c r="D16" s="36" t="s">
        <v>83</v>
      </c>
      <c r="E16" s="36" t="s">
        <v>82</v>
      </c>
      <c r="F16" s="36" t="s">
        <v>19</v>
      </c>
      <c r="G16" s="36" t="s">
        <v>85</v>
      </c>
      <c r="H16" s="36" t="s">
        <v>87</v>
      </c>
      <c r="I16" s="36" t="s">
        <v>0</v>
      </c>
      <c r="J16" s="36" t="s">
        <v>0</v>
      </c>
      <c r="K16" s="36" t="s">
        <v>102</v>
      </c>
      <c r="L16" s="36" t="s">
        <v>84</v>
      </c>
    </row>
    <row r="17" spans="1:12" ht="16">
      <c r="A17" s="42" t="s">
        <v>7</v>
      </c>
      <c r="B17" s="42" t="s">
        <v>7</v>
      </c>
      <c r="C17" s="42" t="s">
        <v>79</v>
      </c>
      <c r="D17" s="42" t="s">
        <v>247</v>
      </c>
      <c r="E17" s="42" t="s">
        <v>247</v>
      </c>
      <c r="F17" s="42" t="s">
        <v>106</v>
      </c>
      <c r="G17" s="42" t="s">
        <v>246</v>
      </c>
      <c r="H17" s="42" t="s">
        <v>98</v>
      </c>
      <c r="I17" s="42" t="s">
        <v>99</v>
      </c>
      <c r="J17" s="42" t="s">
        <v>100</v>
      </c>
      <c r="K17" s="42" t="s">
        <v>107</v>
      </c>
      <c r="L17" s="42" t="s">
        <v>104</v>
      </c>
    </row>
    <row r="18" spans="1:12" ht="17">
      <c r="A18" s="34"/>
      <c r="B18" s="34"/>
      <c r="C18" s="34"/>
      <c r="D18" s="34"/>
      <c r="E18" s="34"/>
      <c r="F18" s="34"/>
      <c r="G18" s="34"/>
      <c r="H18" s="34"/>
      <c r="I18" s="34"/>
      <c r="J18" s="34"/>
      <c r="K18" s="34"/>
      <c r="L18" s="34"/>
    </row>
    <row r="19" spans="1:12" ht="17">
      <c r="A19" s="12"/>
      <c r="B19" s="12"/>
      <c r="C19" s="12"/>
      <c r="D19" s="12"/>
      <c r="E19" s="12"/>
      <c r="F19" s="12"/>
      <c r="G19" s="12"/>
      <c r="H19" s="12"/>
      <c r="I19" s="12"/>
      <c r="J19" s="12"/>
      <c r="K19" s="12"/>
      <c r="L19" s="12"/>
    </row>
    <row r="20" spans="1:12" ht="22.5" customHeight="1">
      <c r="A20" s="62" t="str">
        <f>+'S&amp;D'!A22</f>
        <v>American States Water Company</v>
      </c>
      <c r="B20" s="91" t="str">
        <f>+'S&amp;D'!B22</f>
        <v>AWR</v>
      </c>
      <c r="C20" s="65">
        <f>+'Growth &amp; Inflation Rates'!D93</f>
        <v>2.2200000000000001E-2</v>
      </c>
      <c r="D20" s="318">
        <f>2279621000+237131000</f>
        <v>2516752000</v>
      </c>
      <c r="E20" s="318">
        <f>2178349000+181648000</f>
        <v>2359997000</v>
      </c>
      <c r="F20" s="140">
        <f>(D20+E20)/2</f>
        <v>2438374500</v>
      </c>
      <c r="G20" s="140">
        <v>42403000</v>
      </c>
      <c r="H20" s="18">
        <f>+F20/G20</f>
        <v>57.504763813881091</v>
      </c>
      <c r="I20" s="44">
        <f>+C20*H20</f>
        <v>1.2766057566681603</v>
      </c>
      <c r="J20" s="45">
        <f>1/(1+C20)^H20</f>
        <v>0.28290568014403639</v>
      </c>
      <c r="K20" s="141">
        <f>(G20*I20)/(1-J20)</f>
        <v>75487857.59573859</v>
      </c>
      <c r="L20" s="142">
        <f>+K20/G20</f>
        <v>1.7802480389533426</v>
      </c>
    </row>
    <row r="21" spans="1:12" ht="22.5" customHeight="1">
      <c r="A21" s="62" t="str">
        <f>+'S&amp;D'!A23</f>
        <v>American Water Works Company Inc</v>
      </c>
      <c r="B21" s="91" t="str">
        <f>+'S&amp;D'!B23</f>
        <v>AWK</v>
      </c>
      <c r="C21" s="65">
        <f>+'Growth &amp; Inflation Rates'!D93</f>
        <v>2.2200000000000001E-2</v>
      </c>
      <c r="D21" s="318">
        <v>32189000000</v>
      </c>
      <c r="E21" s="318">
        <v>29736000000</v>
      </c>
      <c r="F21" s="140">
        <f t="shared" ref="F21:F25" si="0">(D21+E21)/2</f>
        <v>30962500000</v>
      </c>
      <c r="G21" s="140">
        <v>704000000</v>
      </c>
      <c r="H21" s="18">
        <f>+F21/G21</f>
        <v>43.980823863636367</v>
      </c>
      <c r="I21" s="44">
        <f>+C21*H21</f>
        <v>0.97637428977272733</v>
      </c>
      <c r="J21" s="45">
        <f>1/(1+C21)^H21</f>
        <v>0.38071877115764713</v>
      </c>
      <c r="K21" s="141">
        <f>(G21*I21)/(1-J21)</f>
        <v>1109944025.4065566</v>
      </c>
      <c r="L21" s="142">
        <f>+K21/G21</f>
        <v>1.5766250360888587</v>
      </c>
    </row>
    <row r="22" spans="1:12" ht="22.5" customHeight="1">
      <c r="A22" s="62" t="str">
        <f>+'S&amp;D'!A24</f>
        <v xml:space="preserve">California Water Service Group </v>
      </c>
      <c r="B22" s="91" t="str">
        <f>+'S&amp;D'!B24</f>
        <v>CWT</v>
      </c>
      <c r="C22" s="65">
        <f>+'Growth &amp; Inflation Rates'!D93</f>
        <v>2.2200000000000001E-2</v>
      </c>
      <c r="D22" s="318">
        <v>4925483000</v>
      </c>
      <c r="E22" s="318">
        <v>4536272000</v>
      </c>
      <c r="F22" s="140">
        <f t="shared" si="0"/>
        <v>4730877500</v>
      </c>
      <c r="G22" s="140">
        <v>121212000</v>
      </c>
      <c r="H22" s="18">
        <f>+F22/G22</f>
        <v>39.029778404778405</v>
      </c>
      <c r="I22" s="44">
        <f>+C22*H22</f>
        <v>0.86646108058608062</v>
      </c>
      <c r="J22" s="45">
        <f>1/(1+C22)^H22</f>
        <v>0.42444053047813757</v>
      </c>
      <c r="K22" s="141">
        <f>(G22*I22)/(1-J22)</f>
        <v>182475462.67851067</v>
      </c>
      <c r="L22" s="142">
        <f>+K22/G22</f>
        <v>1.5054240725217856</v>
      </c>
    </row>
    <row r="23" spans="1:12" ht="22.5" customHeight="1">
      <c r="A23" s="62" t="str">
        <f>+'S&amp;D'!A25</f>
        <v>Essential Utilities, Inc.</v>
      </c>
      <c r="B23" s="91" t="str">
        <f>+'S&amp;D'!B25</f>
        <v>WTRG</v>
      </c>
      <c r="C23" s="65">
        <f>+'Growth &amp; Inflation Rates'!D93</f>
        <v>2.2200000000000001E-2</v>
      </c>
      <c r="D23" s="318">
        <v>14977021000</v>
      </c>
      <c r="E23" s="318">
        <v>13737387000</v>
      </c>
      <c r="F23" s="140">
        <f t="shared" si="0"/>
        <v>14357204000</v>
      </c>
      <c r="G23" s="140">
        <v>338655000</v>
      </c>
      <c r="H23" s="18">
        <f t="shared" ref="H23:H25" si="1">+F23/G23</f>
        <v>42.394779347713751</v>
      </c>
      <c r="I23" s="44">
        <f>+C23*H23</f>
        <v>0.94116410151924534</v>
      </c>
      <c r="J23" s="45">
        <f>1/(1+C23)^H23</f>
        <v>0.394210887667718</v>
      </c>
      <c r="K23" s="141">
        <f>(G23*I23)/(1-J23)</f>
        <v>526140074.67531556</v>
      </c>
      <c r="L23" s="142">
        <f>+K23/G23</f>
        <v>1.5536167328854307</v>
      </c>
    </row>
    <row r="24" spans="1:12" ht="22.5" customHeight="1">
      <c r="A24" s="62" t="str">
        <f>+'S&amp;D'!A26</f>
        <v>Middlesex Water Company</v>
      </c>
      <c r="B24" s="91" t="str">
        <f>+'S&amp;D'!B26</f>
        <v>MSEX</v>
      </c>
      <c r="C24" s="65">
        <f>+'Growth &amp; Inflation Rates'!D93</f>
        <v>2.2200000000000001E-2</v>
      </c>
      <c r="D24" s="318">
        <v>1233882000</v>
      </c>
      <c r="E24" s="318">
        <v>1135442000</v>
      </c>
      <c r="F24" s="140">
        <f>(D24+E24)/2</f>
        <v>1184662000</v>
      </c>
      <c r="G24" s="140">
        <v>25194000</v>
      </c>
      <c r="H24" s="18">
        <f t="shared" si="1"/>
        <v>47.021592442645073</v>
      </c>
      <c r="I24" s="44">
        <f t="shared" ref="I24:I25" si="2">+C24*H24</f>
        <v>1.0438793522267207</v>
      </c>
      <c r="J24" s="45">
        <f t="shared" ref="J24:J25" si="3">1/(1+C24)^H24</f>
        <v>0.35612945577177607</v>
      </c>
      <c r="K24" s="141">
        <f t="shared" ref="K24:K25" si="4">(G24*I24)/(1-J24)</f>
        <v>40845938.10938178</v>
      </c>
      <c r="L24" s="142">
        <f t="shared" ref="L24:L25" si="5">+K24/G24</f>
        <v>1.6212565733659514</v>
      </c>
    </row>
    <row r="25" spans="1:12" ht="22.5" customHeight="1">
      <c r="A25" s="62" t="str">
        <f>+'S&amp;D'!A27</f>
        <v>SJW Corporation</v>
      </c>
      <c r="B25" s="91" t="str">
        <f>+'S&amp;D'!B27</f>
        <v>SJW</v>
      </c>
      <c r="C25" s="65">
        <f>+'Growth &amp; Inflation Rates'!D93</f>
        <v>2.2200000000000001E-2</v>
      </c>
      <c r="D25" s="318">
        <v>4152252000</v>
      </c>
      <c r="E25" s="318">
        <f>3854077000</f>
        <v>3854077000</v>
      </c>
      <c r="F25" s="140">
        <f t="shared" si="0"/>
        <v>4003164500</v>
      </c>
      <c r="G25" s="140">
        <v>105868000</v>
      </c>
      <c r="H25" s="18">
        <f t="shared" si="1"/>
        <v>37.812790456039593</v>
      </c>
      <c r="I25" s="44">
        <f t="shared" si="2"/>
        <v>0.83944394812407896</v>
      </c>
      <c r="J25" s="45">
        <f t="shared" si="3"/>
        <v>0.43593515747058686</v>
      </c>
      <c r="K25" s="141">
        <f t="shared" si="4"/>
        <v>157553254.87311479</v>
      </c>
      <c r="L25" s="142">
        <f t="shared" si="5"/>
        <v>1.4882046971050251</v>
      </c>
    </row>
    <row r="26" spans="1:12" ht="22.5" customHeight="1" thickBot="1">
      <c r="A26" s="70"/>
      <c r="B26" s="70"/>
      <c r="C26" s="46"/>
      <c r="D26" s="46"/>
      <c r="E26" s="46"/>
      <c r="F26" s="46"/>
      <c r="G26" s="46" t="s">
        <v>44</v>
      </c>
      <c r="H26" s="46"/>
      <c r="I26" s="46" t="s">
        <v>44</v>
      </c>
      <c r="J26" s="46"/>
      <c r="K26" s="46"/>
      <c r="L26" s="46"/>
    </row>
    <row r="27" spans="1:12" ht="22.5" customHeight="1" thickTop="1">
      <c r="A27" s="12"/>
      <c r="B27" s="12"/>
      <c r="C27" s="47" t="s">
        <v>0</v>
      </c>
      <c r="D27" s="47" t="s">
        <v>0</v>
      </c>
      <c r="E27" s="34" t="s">
        <v>0</v>
      </c>
      <c r="F27" s="34"/>
      <c r="G27" s="47" t="s">
        <v>0</v>
      </c>
      <c r="H27" s="34"/>
      <c r="I27" s="47" t="s">
        <v>0</v>
      </c>
      <c r="J27" s="47" t="s">
        <v>0</v>
      </c>
      <c r="K27" s="14" t="s">
        <v>45</v>
      </c>
      <c r="L27" s="52">
        <f>+MAX(L20:L25)</f>
        <v>1.7802480389533426</v>
      </c>
    </row>
    <row r="28" spans="1:12" ht="22.5" customHeight="1">
      <c r="B28" s="12"/>
      <c r="C28" s="47"/>
      <c r="D28" s="47"/>
      <c r="E28" s="34"/>
      <c r="F28" s="34"/>
      <c r="G28" s="47"/>
      <c r="H28" s="34"/>
      <c r="I28" s="47"/>
      <c r="J28" s="47"/>
      <c r="K28" s="14" t="s">
        <v>46</v>
      </c>
      <c r="L28" s="369">
        <f>MIN(L20:L25)</f>
        <v>1.4882046971050251</v>
      </c>
    </row>
    <row r="29" spans="1:12" ht="22.5" customHeight="1">
      <c r="B29" s="12"/>
      <c r="C29" s="12"/>
      <c r="D29" s="12"/>
      <c r="E29" s="12"/>
      <c r="F29" s="12"/>
      <c r="G29" s="12"/>
      <c r="H29" s="12"/>
      <c r="I29" s="12"/>
      <c r="J29" s="12"/>
      <c r="K29" s="14" t="s">
        <v>18</v>
      </c>
      <c r="L29" s="54">
        <f>MEDIAN(L20:L25)</f>
        <v>1.5651208844871447</v>
      </c>
    </row>
    <row r="30" spans="1:12" ht="22.5" customHeight="1">
      <c r="A30" s="12" t="s">
        <v>0</v>
      </c>
      <c r="B30" s="12"/>
      <c r="C30" s="12"/>
      <c r="D30" s="12"/>
      <c r="E30" s="12"/>
      <c r="F30" s="12"/>
      <c r="G30" s="12"/>
      <c r="H30" s="12"/>
      <c r="I30" s="12"/>
      <c r="J30" s="12"/>
      <c r="K30" s="14" t="s">
        <v>409</v>
      </c>
      <c r="L30" s="54">
        <f>AVERAGE(L20:L25)</f>
        <v>1.5875625251533991</v>
      </c>
    </row>
    <row r="31" spans="1:12" ht="22.5" customHeight="1" thickBot="1">
      <c r="A31" s="12"/>
      <c r="B31" s="12"/>
      <c r="C31" s="12"/>
      <c r="D31" s="12"/>
      <c r="E31" s="12"/>
      <c r="F31" s="12"/>
      <c r="G31" s="12" t="s">
        <v>0</v>
      </c>
      <c r="H31" s="12"/>
      <c r="I31" s="12"/>
      <c r="J31" s="12"/>
      <c r="K31" s="12"/>
      <c r="L31" s="12"/>
    </row>
    <row r="32" spans="1:12" ht="22.5" customHeight="1" thickBot="1">
      <c r="A32" s="12"/>
      <c r="B32" s="12"/>
      <c r="C32" s="12"/>
      <c r="D32" s="12"/>
      <c r="E32" s="12"/>
      <c r="F32" s="12"/>
      <c r="G32" s="12"/>
      <c r="H32" s="12"/>
      <c r="I32" s="12"/>
      <c r="J32" s="12"/>
      <c r="K32" s="213" t="s">
        <v>211</v>
      </c>
      <c r="L32" s="405">
        <v>1.5875999999999999</v>
      </c>
    </row>
    <row r="33" spans="1:12" ht="17">
      <c r="A33" s="12"/>
      <c r="B33" s="12"/>
      <c r="C33" s="12"/>
      <c r="D33" s="12"/>
      <c r="E33" s="12"/>
      <c r="F33" s="12"/>
      <c r="G33" s="12"/>
      <c r="H33" s="12"/>
      <c r="I33" s="12"/>
      <c r="J33" s="12"/>
      <c r="K33" s="12"/>
      <c r="L33" s="12"/>
    </row>
    <row r="34" spans="1:12" ht="17">
      <c r="A34" s="12"/>
      <c r="B34" s="12"/>
      <c r="C34" s="12"/>
      <c r="D34" s="12"/>
      <c r="E34" s="12"/>
      <c r="F34" s="12"/>
      <c r="G34" s="12"/>
      <c r="H34" s="12"/>
      <c r="I34" s="12"/>
      <c r="J34" s="12"/>
      <c r="K34" s="12"/>
      <c r="L34" s="12"/>
    </row>
    <row r="35" spans="1:12" ht="17">
      <c r="A35" s="12" t="s">
        <v>71</v>
      </c>
      <c r="B35" s="12"/>
      <c r="C35" s="12"/>
      <c r="D35" s="12"/>
      <c r="E35" s="12"/>
      <c r="F35" s="12"/>
      <c r="G35" s="12"/>
      <c r="H35" s="12"/>
      <c r="I35" s="12"/>
      <c r="J35" s="12"/>
      <c r="K35" s="12"/>
      <c r="L35" s="12"/>
    </row>
    <row r="36" spans="1:12" ht="17">
      <c r="A36" s="12" t="s">
        <v>268</v>
      </c>
    </row>
    <row r="38" spans="1:12" ht="21">
      <c r="A38" s="251"/>
      <c r="B38" s="251"/>
      <c r="C38" s="251"/>
      <c r="D38" s="251"/>
      <c r="E38" s="251"/>
      <c r="F38" s="251"/>
      <c r="G38" s="251"/>
      <c r="H38" s="251"/>
      <c r="I38" s="251"/>
      <c r="J38" s="251"/>
      <c r="K38" s="251"/>
      <c r="L38" s="251"/>
    </row>
    <row r="39" spans="1:12" ht="25.5">
      <c r="A39" s="23" t="s">
        <v>1</v>
      </c>
      <c r="B39" s="12"/>
      <c r="C39" s="12"/>
      <c r="D39" s="12"/>
      <c r="E39" s="12"/>
      <c r="F39" s="12"/>
      <c r="G39" s="12"/>
      <c r="H39" s="12"/>
      <c r="I39" s="12"/>
      <c r="J39" s="12"/>
      <c r="K39" s="251"/>
      <c r="L39" s="251"/>
    </row>
    <row r="40" spans="1:12" ht="21">
      <c r="A40" s="24" t="s">
        <v>9</v>
      </c>
      <c r="B40" s="12"/>
      <c r="C40" s="12"/>
      <c r="D40" s="12"/>
      <c r="E40" s="12"/>
      <c r="F40" s="12"/>
      <c r="G40" s="12"/>
      <c r="H40" s="12"/>
      <c r="I40" s="12"/>
      <c r="J40" s="12"/>
      <c r="K40" s="251"/>
      <c r="L40" s="251"/>
    </row>
    <row r="41" spans="1:12" ht="21">
      <c r="A41" s="25" t="s">
        <v>452</v>
      </c>
      <c r="B41" s="12"/>
      <c r="C41" s="12"/>
      <c r="D41" s="12"/>
      <c r="E41" s="12"/>
      <c r="F41" s="12"/>
      <c r="G41" s="12"/>
      <c r="H41" s="12"/>
      <c r="I41" s="12"/>
      <c r="J41" s="12"/>
      <c r="K41" s="251"/>
      <c r="L41" s="251"/>
    </row>
    <row r="42" spans="1:12" ht="21">
      <c r="A42" s="25"/>
      <c r="B42" s="12"/>
      <c r="C42" s="12"/>
      <c r="D42" s="12"/>
      <c r="E42" s="12"/>
      <c r="F42" s="12"/>
      <c r="G42" s="12"/>
      <c r="H42" s="12"/>
      <c r="I42" s="12"/>
      <c r="J42" s="12"/>
      <c r="K42" s="251"/>
      <c r="L42" s="251"/>
    </row>
    <row r="43" spans="1:12" ht="21">
      <c r="A43" s="25"/>
      <c r="B43" s="12"/>
      <c r="C43" s="12"/>
      <c r="D43" s="12"/>
      <c r="E43" s="12"/>
      <c r="F43" s="12"/>
      <c r="G43" s="12"/>
      <c r="H43" s="12"/>
      <c r="I43" s="12"/>
      <c r="J43" s="12"/>
      <c r="K43" s="251"/>
      <c r="L43" s="251"/>
    </row>
    <row r="44" spans="1:12" ht="21">
      <c r="A44" s="25"/>
      <c r="B44" s="12"/>
      <c r="C44" s="12"/>
      <c r="D44" s="12"/>
      <c r="E44" s="12"/>
      <c r="F44" s="12"/>
      <c r="G44" s="12"/>
      <c r="H44" s="12"/>
      <c r="I44" s="12"/>
      <c r="J44" s="12"/>
      <c r="K44" s="251"/>
      <c r="L44" s="251"/>
    </row>
    <row r="45" spans="1:12" ht="21.5" thickBot="1">
      <c r="B45" s="12"/>
      <c r="C45" s="12"/>
      <c r="D45" s="12"/>
      <c r="E45" s="12"/>
      <c r="F45" s="28"/>
      <c r="G45" s="28"/>
      <c r="H45" s="29" t="s">
        <v>0</v>
      </c>
      <c r="I45" s="12"/>
      <c r="J45" s="12"/>
      <c r="K45" s="251"/>
      <c r="L45" s="251"/>
    </row>
    <row r="46" spans="1:12" ht="25.5">
      <c r="B46" s="12"/>
      <c r="C46" s="12"/>
      <c r="D46" s="12"/>
      <c r="E46" s="12"/>
      <c r="F46" s="12"/>
      <c r="G46" s="31" t="s">
        <v>293</v>
      </c>
      <c r="H46" s="12"/>
      <c r="I46" s="12"/>
      <c r="J46" s="12"/>
      <c r="K46" s="251"/>
      <c r="L46" s="251"/>
    </row>
    <row r="47" spans="1:12" ht="21.5" thickBot="1">
      <c r="B47" s="40" t="s">
        <v>0</v>
      </c>
      <c r="C47" s="40" t="s">
        <v>0</v>
      </c>
      <c r="D47" s="12"/>
      <c r="E47" s="12"/>
      <c r="F47" s="33" t="s">
        <v>0</v>
      </c>
      <c r="G47" s="36" t="s">
        <v>453</v>
      </c>
      <c r="H47" s="33" t="s">
        <v>0</v>
      </c>
      <c r="I47" s="40" t="s">
        <v>0</v>
      </c>
      <c r="J47" s="12"/>
      <c r="K47" s="251"/>
      <c r="L47" s="251"/>
    </row>
    <row r="48" spans="1:12" ht="21">
      <c r="B48" s="251"/>
      <c r="C48" s="251"/>
      <c r="D48" s="251"/>
      <c r="E48" s="251"/>
      <c r="F48" s="251"/>
      <c r="G48" s="251"/>
      <c r="H48" s="251"/>
      <c r="I48" s="251"/>
      <c r="J48" s="251"/>
      <c r="K48" s="251"/>
      <c r="L48" s="251"/>
    </row>
    <row r="49" spans="1:12" ht="21">
      <c r="A49" s="251"/>
      <c r="B49" s="251"/>
      <c r="C49" s="251"/>
      <c r="D49" s="251"/>
      <c r="E49" s="251"/>
      <c r="F49" s="251"/>
      <c r="G49" s="251"/>
      <c r="H49" s="251"/>
      <c r="I49" s="251"/>
      <c r="J49" s="251"/>
      <c r="K49" s="251"/>
      <c r="L49" s="251"/>
    </row>
    <row r="50" spans="1:12" ht="21">
      <c r="A50" s="251"/>
      <c r="B50" s="251"/>
      <c r="C50" s="251"/>
      <c r="D50" s="251"/>
      <c r="E50" s="251"/>
      <c r="F50" s="251"/>
      <c r="G50" s="251"/>
      <c r="H50" s="251"/>
      <c r="I50" s="251"/>
      <c r="J50" s="251"/>
      <c r="K50" s="251"/>
      <c r="L50" s="251"/>
    </row>
    <row r="51" spans="1:12" ht="17">
      <c r="A51" s="40"/>
      <c r="B51" s="40"/>
      <c r="C51" s="40"/>
      <c r="D51" s="12"/>
      <c r="E51" s="12"/>
      <c r="J51" s="12"/>
      <c r="K51" s="12"/>
      <c r="L51" s="12"/>
    </row>
    <row r="52" spans="1:12" ht="30">
      <c r="A52" s="245" t="s">
        <v>282</v>
      </c>
      <c r="B52" s="40"/>
      <c r="C52" s="247" t="s">
        <v>287</v>
      </c>
      <c r="D52" s="12"/>
      <c r="E52" s="12"/>
      <c r="J52" s="12"/>
      <c r="K52" s="12"/>
      <c r="L52" s="12"/>
    </row>
    <row r="53" spans="1:12" ht="30">
      <c r="A53" s="245" t="s">
        <v>286</v>
      </c>
      <c r="B53" s="40"/>
      <c r="C53" s="247" t="s">
        <v>292</v>
      </c>
      <c r="D53" s="12"/>
      <c r="E53" s="12"/>
      <c r="J53" s="12"/>
      <c r="K53" s="12"/>
      <c r="L53" s="12"/>
    </row>
    <row r="54" spans="1:12" ht="17.5">
      <c r="A54" s="246" t="s">
        <v>283</v>
      </c>
      <c r="B54" s="40"/>
      <c r="C54" s="40"/>
      <c r="D54" s="12"/>
      <c r="E54" s="12"/>
      <c r="J54" s="12"/>
      <c r="K54" s="12"/>
      <c r="L54" s="12"/>
    </row>
    <row r="55" spans="1:12" ht="17.5">
      <c r="A55" s="246" t="s">
        <v>284</v>
      </c>
      <c r="B55" s="40"/>
      <c r="C55" s="40"/>
      <c r="D55" s="12"/>
      <c r="E55" s="12"/>
      <c r="J55" s="12"/>
      <c r="K55" s="12"/>
      <c r="L55" s="12"/>
    </row>
    <row r="56" spans="1:12" ht="17.5">
      <c r="A56" s="246" t="s">
        <v>285</v>
      </c>
      <c r="B56" s="40"/>
      <c r="C56" s="40"/>
      <c r="D56" s="12"/>
      <c r="E56" s="12"/>
      <c r="J56" s="12"/>
      <c r="K56" s="12"/>
      <c r="L56" s="12"/>
    </row>
    <row r="62" spans="1:12" ht="30">
      <c r="A62" s="248" t="s">
        <v>291</v>
      </c>
      <c r="B62" s="107"/>
      <c r="C62" s="107"/>
      <c r="D62" s="107"/>
      <c r="E62" s="107"/>
      <c r="F62" s="107"/>
      <c r="G62" s="12"/>
      <c r="H62" s="12"/>
      <c r="I62" s="12"/>
    </row>
    <row r="63" spans="1:12" ht="17.5">
      <c r="A63" s="107"/>
      <c r="B63" s="107"/>
      <c r="C63" s="107"/>
      <c r="D63" s="107"/>
      <c r="E63" s="107"/>
      <c r="F63" s="107"/>
      <c r="G63" s="12"/>
      <c r="H63" s="12"/>
      <c r="I63" s="12"/>
    </row>
    <row r="64" spans="1:12" ht="18" thickBot="1">
      <c r="A64" s="249" t="s">
        <v>288</v>
      </c>
      <c r="B64" s="109"/>
      <c r="C64" s="109"/>
      <c r="D64" s="250" t="s">
        <v>290</v>
      </c>
      <c r="E64" s="109"/>
      <c r="F64" s="107"/>
      <c r="G64" s="12"/>
      <c r="H64" s="12"/>
      <c r="I64" s="12"/>
    </row>
    <row r="65" spans="1:9" ht="17.5">
      <c r="A65" s="107"/>
      <c r="B65" s="107"/>
      <c r="C65" s="107"/>
      <c r="D65" s="107" t="s">
        <v>289</v>
      </c>
      <c r="E65" s="107"/>
      <c r="F65" s="107"/>
      <c r="G65" s="12"/>
      <c r="H65" s="12"/>
      <c r="I65" s="12"/>
    </row>
    <row r="66" spans="1:9" ht="17.5">
      <c r="A66" s="107"/>
      <c r="B66" s="107"/>
      <c r="C66" s="107"/>
      <c r="D66" s="107"/>
      <c r="E66" s="107"/>
      <c r="F66" s="107"/>
      <c r="G66" s="12"/>
      <c r="H66" s="12"/>
      <c r="I66" s="12"/>
    </row>
    <row r="67" spans="1:9" ht="17">
      <c r="A67" s="12"/>
      <c r="B67" s="12"/>
      <c r="C67" s="12"/>
      <c r="D67" s="12"/>
      <c r="E67" s="12"/>
      <c r="F67" s="12"/>
      <c r="G67" s="12"/>
      <c r="H67" s="12"/>
      <c r="I67" s="12"/>
    </row>
    <row r="68" spans="1:9" ht="17">
      <c r="A68" s="12"/>
      <c r="B68" s="12"/>
      <c r="C68" s="12"/>
      <c r="D68" s="12"/>
      <c r="E68" s="12"/>
      <c r="F68" s="12"/>
      <c r="G68" s="12"/>
      <c r="H68" s="12"/>
      <c r="I68" s="12"/>
    </row>
    <row r="69" spans="1:9" ht="17">
      <c r="A69" s="12"/>
      <c r="B69" s="12"/>
      <c r="C69" s="12"/>
      <c r="D69" s="12"/>
      <c r="E69" s="12"/>
      <c r="F69" s="12"/>
      <c r="G69" s="12"/>
      <c r="H69" s="12"/>
      <c r="I69" s="12"/>
    </row>
    <row r="70" spans="1:9" ht="17">
      <c r="A70" s="12"/>
      <c r="B70" s="12"/>
      <c r="C70" s="12"/>
      <c r="D70" s="12"/>
      <c r="E70" s="12"/>
      <c r="F70" s="12"/>
      <c r="G70" s="12"/>
      <c r="H70" s="12"/>
      <c r="I70" s="12"/>
    </row>
    <row r="71" spans="1:9" ht="17">
      <c r="A71" s="12"/>
      <c r="B71" s="12"/>
      <c r="C71" s="12"/>
      <c r="D71" s="12"/>
      <c r="E71" s="12"/>
      <c r="F71" s="12"/>
      <c r="G71" s="12"/>
      <c r="H71" s="12"/>
      <c r="I71" s="12"/>
    </row>
    <row r="72" spans="1:9" ht="17">
      <c r="A72" s="12" t="s">
        <v>0</v>
      </c>
      <c r="B72" s="12"/>
      <c r="C72" s="12"/>
      <c r="D72" s="12"/>
      <c r="E72" s="12"/>
      <c r="F72" s="12"/>
      <c r="G72" s="12"/>
      <c r="H72" s="12"/>
      <c r="I72" s="12"/>
    </row>
    <row r="73" spans="1:9" ht="17">
      <c r="A73" s="12"/>
      <c r="B73" s="12"/>
      <c r="C73" s="12"/>
      <c r="D73" s="12"/>
      <c r="E73" s="12"/>
      <c r="F73" s="12"/>
      <c r="G73" s="12"/>
      <c r="H73" s="12"/>
      <c r="I73" s="12"/>
    </row>
  </sheetData>
  <pageMargins left="0.25" right="0.25" top="0.75" bottom="0.75" header="0.3" footer="0.3"/>
  <pageSetup scale="52" orientation="landscape" r:id="rId1"/>
  <rowBreaks count="1" manualBreakCount="1">
    <brk id="37" max="11"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19DCF-8362-451B-93E3-8D44BC877730}">
  <sheetPr>
    <tabColor rgb="FF92D050"/>
  </sheetPr>
  <dimension ref="A1:I33"/>
  <sheetViews>
    <sheetView view="pageBreakPreview" zoomScale="60" zoomScaleNormal="80" workbookViewId="0">
      <selection activeCell="E43" sqref="E43"/>
    </sheetView>
  </sheetViews>
  <sheetFormatPr defaultRowHeight="14.5"/>
  <cols>
    <col min="1" max="1" width="45.1796875" customWidth="1"/>
    <col min="2" max="2" width="17" customWidth="1"/>
    <col min="3" max="3" width="22.7265625" customWidth="1"/>
    <col min="4" max="4" width="20.1796875" customWidth="1"/>
    <col min="5" max="5" width="24.54296875" customWidth="1"/>
    <col min="6" max="6" width="23.54296875" customWidth="1"/>
    <col min="7" max="7" width="21.26953125" customWidth="1"/>
    <col min="8" max="8" width="19.7265625" customWidth="1"/>
    <col min="9" max="9" width="28.26953125" customWidth="1"/>
    <col min="10" max="10" width="14.1796875" bestFit="1" customWidth="1"/>
    <col min="12" max="12" width="10.54296875" customWidth="1"/>
  </cols>
  <sheetData>
    <row r="1" spans="1:9" ht="25.5">
      <c r="A1" s="23" t="s">
        <v>1</v>
      </c>
      <c r="B1" s="12"/>
      <c r="C1" s="12"/>
      <c r="D1" s="12"/>
      <c r="E1" s="12"/>
      <c r="F1" s="12"/>
      <c r="G1" s="12"/>
      <c r="H1" s="12"/>
      <c r="I1" s="12"/>
    </row>
    <row r="2" spans="1:9" ht="17.5">
      <c r="A2" s="24" t="s">
        <v>9</v>
      </c>
      <c r="B2" s="12"/>
      <c r="C2" s="12"/>
      <c r="D2" s="12"/>
      <c r="E2" s="12"/>
      <c r="F2" s="12"/>
      <c r="G2" s="12"/>
      <c r="H2" s="12"/>
      <c r="I2" s="12"/>
    </row>
    <row r="3" spans="1:9" ht="17">
      <c r="A3" s="25" t="s">
        <v>452</v>
      </c>
      <c r="B3" s="12"/>
      <c r="C3" s="12"/>
      <c r="D3" s="12"/>
      <c r="E3" s="12"/>
      <c r="F3" s="12"/>
      <c r="G3" s="12"/>
      <c r="H3" s="12"/>
      <c r="I3" s="12"/>
    </row>
    <row r="4" spans="1:9" ht="17">
      <c r="A4" s="25"/>
      <c r="B4" s="12"/>
      <c r="C4" s="12"/>
      <c r="D4" s="12"/>
      <c r="E4" s="12"/>
      <c r="F4" s="12"/>
      <c r="G4" s="12"/>
      <c r="H4" s="12"/>
      <c r="I4" s="12"/>
    </row>
    <row r="5" spans="1:9" ht="17">
      <c r="A5" s="25"/>
      <c r="B5" s="12"/>
      <c r="C5" s="12"/>
      <c r="D5" s="12"/>
      <c r="E5" s="12"/>
      <c r="F5" s="12"/>
      <c r="G5" s="12"/>
      <c r="H5" s="12"/>
      <c r="I5" s="12"/>
    </row>
    <row r="6" spans="1:9" ht="17">
      <c r="A6" s="25"/>
      <c r="B6" s="12"/>
      <c r="C6" s="12"/>
      <c r="D6" s="12"/>
      <c r="E6" s="12"/>
      <c r="F6" s="12"/>
      <c r="G6" s="12"/>
      <c r="H6" s="12"/>
      <c r="I6" s="12"/>
    </row>
    <row r="7" spans="1:9" ht="17.5" thickBot="1">
      <c r="A7" s="12"/>
      <c r="B7" s="12"/>
      <c r="C7" s="12"/>
      <c r="H7" s="26"/>
      <c r="I7" s="12"/>
    </row>
    <row r="8" spans="1:9" ht="21.5" thickBot="1">
      <c r="A8" s="280" t="str">
        <f>+'S&amp;D'!A12</f>
        <v>Water Utility Companies (Private)</v>
      </c>
      <c r="B8" s="207"/>
      <c r="C8" s="12"/>
      <c r="D8" s="28"/>
      <c r="E8" s="28"/>
      <c r="F8" s="28"/>
      <c r="H8" s="12"/>
      <c r="I8" s="12"/>
    </row>
    <row r="9" spans="1:9" ht="25.5">
      <c r="A9" s="30"/>
      <c r="B9" s="12"/>
      <c r="C9" s="12"/>
      <c r="D9" s="12"/>
      <c r="E9" s="31" t="s">
        <v>122</v>
      </c>
      <c r="F9" s="31"/>
      <c r="H9" s="12"/>
      <c r="I9" s="12"/>
    </row>
    <row r="10" spans="1:9" ht="21.5" thickBot="1">
      <c r="A10" s="30"/>
      <c r="B10" s="12"/>
      <c r="C10" s="12"/>
      <c r="D10" s="28"/>
      <c r="E10" s="36" t="s">
        <v>453</v>
      </c>
      <c r="F10" s="36"/>
      <c r="H10" s="12"/>
      <c r="I10" s="12"/>
    </row>
    <row r="11" spans="1:9" ht="21">
      <c r="A11" s="30"/>
      <c r="B11" s="12"/>
      <c r="I11" s="12"/>
    </row>
    <row r="12" spans="1:9" ht="17.5" thickBot="1">
      <c r="A12" s="33" t="s">
        <v>0</v>
      </c>
      <c r="B12" s="33" t="s">
        <v>0</v>
      </c>
      <c r="C12" s="33" t="s">
        <v>0</v>
      </c>
      <c r="D12" s="33" t="s">
        <v>0</v>
      </c>
      <c r="E12" s="33" t="s">
        <v>0</v>
      </c>
      <c r="F12" s="33"/>
      <c r="G12" s="33"/>
      <c r="H12" s="28"/>
      <c r="I12" s="28"/>
    </row>
    <row r="13" spans="1:9" ht="17.5">
      <c r="A13" s="91" t="s">
        <v>0</v>
      </c>
      <c r="B13" s="91" t="s">
        <v>3</v>
      </c>
      <c r="C13" s="91" t="s">
        <v>5</v>
      </c>
      <c r="D13" s="91" t="s">
        <v>21</v>
      </c>
      <c r="E13" s="191" t="s">
        <v>232</v>
      </c>
      <c r="F13" s="191" t="s">
        <v>353</v>
      </c>
      <c r="G13" s="91" t="s">
        <v>20</v>
      </c>
      <c r="H13" s="91" t="s">
        <v>146</v>
      </c>
      <c r="I13" s="91" t="s">
        <v>146</v>
      </c>
    </row>
    <row r="14" spans="1:9" ht="18" thickBot="1">
      <c r="A14" s="97" t="s">
        <v>2</v>
      </c>
      <c r="B14" s="97" t="s">
        <v>4</v>
      </c>
      <c r="C14" s="97" t="s">
        <v>6</v>
      </c>
      <c r="D14" s="97" t="s">
        <v>23</v>
      </c>
      <c r="E14" s="97" t="s">
        <v>354</v>
      </c>
      <c r="F14" s="97" t="s">
        <v>192</v>
      </c>
      <c r="G14" s="97" t="s">
        <v>22</v>
      </c>
      <c r="H14" s="97" t="s">
        <v>170</v>
      </c>
      <c r="I14" s="97" t="s">
        <v>118</v>
      </c>
    </row>
    <row r="15" spans="1:9" ht="15">
      <c r="A15" s="38" t="s">
        <v>7</v>
      </c>
      <c r="B15" s="38" t="s">
        <v>7</v>
      </c>
      <c r="C15" s="38" t="s">
        <v>7</v>
      </c>
      <c r="D15" s="38" t="s">
        <v>7</v>
      </c>
      <c r="E15" s="241" t="s">
        <v>457</v>
      </c>
      <c r="F15" s="241" t="s">
        <v>457</v>
      </c>
      <c r="G15" s="38" t="s">
        <v>7</v>
      </c>
      <c r="H15" s="38" t="s">
        <v>7</v>
      </c>
      <c r="I15" s="241" t="s">
        <v>457</v>
      </c>
    </row>
    <row r="16" spans="1:9" ht="17.5" thickBot="1">
      <c r="A16" s="34"/>
      <c r="B16" s="34"/>
      <c r="C16" s="34"/>
      <c r="D16" s="34"/>
      <c r="G16" s="34"/>
      <c r="H16" s="34"/>
      <c r="I16" s="34"/>
    </row>
    <row r="17" spans="1:9" ht="17">
      <c r="A17" s="160"/>
      <c r="B17" s="113"/>
      <c r="C17" s="113"/>
      <c r="D17" s="113"/>
      <c r="E17" s="332"/>
      <c r="F17" s="332"/>
      <c r="G17" s="113"/>
      <c r="H17" s="113"/>
      <c r="I17" s="161"/>
    </row>
    <row r="18" spans="1:9" ht="20.25" customHeight="1">
      <c r="A18" s="103" t="str">
        <f>+'S&amp;D'!A22</f>
        <v>American States Water Company</v>
      </c>
      <c r="B18" s="91" t="str">
        <f>+'S&amp;D'!B22</f>
        <v>AWR</v>
      </c>
      <c r="C18" s="91" t="str">
        <f>+'S&amp;D'!C22</f>
        <v>Water Utility</v>
      </c>
      <c r="D18" s="333">
        <v>0.24</v>
      </c>
      <c r="E18" s="276">
        <v>0.13500000000000001</v>
      </c>
      <c r="F18" s="276">
        <v>5.5E-2</v>
      </c>
      <c r="G18" s="91" t="s">
        <v>24</v>
      </c>
      <c r="H18" s="59">
        <v>0.7</v>
      </c>
      <c r="I18" s="322">
        <v>0.7</v>
      </c>
    </row>
    <row r="19" spans="1:9" ht="20.25" customHeight="1">
      <c r="A19" s="103" t="str">
        <f>+'S&amp;D'!A23</f>
        <v>American Water Works Company Inc</v>
      </c>
      <c r="B19" s="91" t="str">
        <f>+'S&amp;D'!B23</f>
        <v>AWK</v>
      </c>
      <c r="C19" s="91" t="str">
        <f>+'S&amp;D'!C23</f>
        <v>Water Utility</v>
      </c>
      <c r="D19" s="120">
        <v>0.21</v>
      </c>
      <c r="E19" s="276">
        <v>9.5000000000000001E-2</v>
      </c>
      <c r="F19" s="276">
        <v>0.04</v>
      </c>
      <c r="G19" s="91" t="s">
        <v>456</v>
      </c>
      <c r="H19" s="59">
        <v>0.95</v>
      </c>
      <c r="I19" s="322">
        <v>0.95</v>
      </c>
    </row>
    <row r="20" spans="1:9" ht="20.25" customHeight="1">
      <c r="A20" s="103" t="str">
        <f>+'S&amp;D'!A24</f>
        <v xml:space="preserve">California Water Service Group </v>
      </c>
      <c r="B20" s="91" t="str">
        <f>+'S&amp;D'!B24</f>
        <v>CWT</v>
      </c>
      <c r="C20" s="91" t="str">
        <f>+'S&amp;D'!C24</f>
        <v>Water Utility</v>
      </c>
      <c r="D20" s="120">
        <v>0.21</v>
      </c>
      <c r="E20" s="276">
        <v>8.5000000000000006E-2</v>
      </c>
      <c r="F20" s="276">
        <v>4.4999999999999998E-2</v>
      </c>
      <c r="G20" s="91" t="s">
        <v>456</v>
      </c>
      <c r="H20" s="59">
        <v>0.75</v>
      </c>
      <c r="I20" s="322">
        <v>0.75</v>
      </c>
    </row>
    <row r="21" spans="1:9" ht="20.25" customHeight="1">
      <c r="A21" s="103" t="str">
        <f>+'S&amp;D'!A25</f>
        <v>Essential Utilities, Inc.</v>
      </c>
      <c r="B21" s="91" t="str">
        <f>+'S&amp;D'!B25</f>
        <v>WTRG</v>
      </c>
      <c r="C21" s="91" t="str">
        <f>+'S&amp;D'!C25</f>
        <v>Water Utility</v>
      </c>
      <c r="D21" s="120">
        <v>0.14000000000000001</v>
      </c>
      <c r="E21" s="276">
        <v>8.5000000000000006E-2</v>
      </c>
      <c r="F21" s="276">
        <v>2.5000000000000001E-2</v>
      </c>
      <c r="G21" s="91" t="s">
        <v>456</v>
      </c>
      <c r="H21" s="59">
        <v>1</v>
      </c>
      <c r="I21" s="322">
        <v>1</v>
      </c>
    </row>
    <row r="22" spans="1:9" ht="20.25" customHeight="1">
      <c r="A22" s="103" t="str">
        <f>+'S&amp;D'!A26</f>
        <v>Middlesex Water Company</v>
      </c>
      <c r="B22" s="91" t="str">
        <f>+'S&amp;D'!B26</f>
        <v>MSEX</v>
      </c>
      <c r="C22" s="91" t="str">
        <f>+'S&amp;D'!C26</f>
        <v>Water Utility</v>
      </c>
      <c r="D22" s="120">
        <v>0.21</v>
      </c>
      <c r="E22" s="276">
        <v>0.105</v>
      </c>
      <c r="F22" s="276">
        <v>0.05</v>
      </c>
      <c r="G22" s="91" t="s">
        <v>456</v>
      </c>
      <c r="H22" s="59">
        <v>0.75</v>
      </c>
      <c r="I22" s="322">
        <v>0.75</v>
      </c>
    </row>
    <row r="23" spans="1:9" ht="20.25" customHeight="1" thickBot="1">
      <c r="A23" s="62" t="str">
        <f>+'S&amp;D'!A27</f>
        <v>SJW Corporation</v>
      </c>
      <c r="B23" s="91" t="str">
        <f>+'S&amp;D'!B27</f>
        <v>SJW</v>
      </c>
      <c r="C23" s="91" t="str">
        <f>+'S&amp;D'!C27</f>
        <v>Water Utility</v>
      </c>
      <c r="D23" s="120">
        <v>0.21</v>
      </c>
      <c r="E23" s="276">
        <v>7.4999999999999997E-2</v>
      </c>
      <c r="F23" s="276">
        <v>0.04</v>
      </c>
      <c r="G23" s="91" t="s">
        <v>25</v>
      </c>
      <c r="H23" s="64">
        <v>0.85</v>
      </c>
      <c r="I23" s="334">
        <v>0.85</v>
      </c>
    </row>
    <row r="24" spans="1:9" ht="20.25" customHeight="1" thickTop="1">
      <c r="A24" s="107"/>
      <c r="B24" s="107"/>
      <c r="C24" s="4"/>
      <c r="D24" s="185" t="s">
        <v>0</v>
      </c>
      <c r="E24" s="4"/>
      <c r="F24" s="4"/>
      <c r="G24" s="124" t="s">
        <v>45</v>
      </c>
      <c r="H24" s="186">
        <v>1</v>
      </c>
      <c r="I24" s="187">
        <v>1</v>
      </c>
    </row>
    <row r="25" spans="1:9" ht="20.25" customHeight="1">
      <c r="A25" s="107"/>
      <c r="B25" s="107"/>
      <c r="C25" s="4"/>
      <c r="D25" s="185" t="s">
        <v>0</v>
      </c>
      <c r="E25" s="4"/>
      <c r="F25" s="4"/>
      <c r="G25" s="124" t="s">
        <v>46</v>
      </c>
      <c r="H25" s="403">
        <v>0.7</v>
      </c>
      <c r="I25" s="404">
        <v>0.7</v>
      </c>
    </row>
    <row r="26" spans="1:9" ht="20.25" customHeight="1">
      <c r="A26" s="107"/>
      <c r="B26" s="107"/>
      <c r="C26" s="4"/>
      <c r="D26" s="188" t="s">
        <v>0</v>
      </c>
      <c r="E26" s="4"/>
      <c r="F26" s="4"/>
      <c r="G26" s="124" t="s">
        <v>18</v>
      </c>
      <c r="H26" s="189">
        <f>MEDIAN(H18:H23)</f>
        <v>0.8</v>
      </c>
      <c r="I26" s="189">
        <f>MEDIAN(I18:I23)</f>
        <v>0.8</v>
      </c>
    </row>
    <row r="27" spans="1:9" ht="20.25" customHeight="1">
      <c r="A27" s="107"/>
      <c r="B27" s="107"/>
      <c r="C27" s="4"/>
      <c r="D27" s="127" t="s">
        <v>0</v>
      </c>
      <c r="E27" s="4"/>
      <c r="F27" s="4"/>
      <c r="G27" s="124" t="s">
        <v>409</v>
      </c>
      <c r="H27" s="190">
        <f>AVERAGE(H18:H23)</f>
        <v>0.83333333333333337</v>
      </c>
      <c r="I27" s="190">
        <f>AVERAGE(I18:I23)</f>
        <v>0.83333333333333337</v>
      </c>
    </row>
    <row r="28" spans="1:9" ht="20.25" customHeight="1" thickBot="1">
      <c r="A28" s="12"/>
      <c r="B28" s="12"/>
      <c r="C28" s="12"/>
      <c r="D28" s="12"/>
      <c r="G28" s="12"/>
      <c r="H28" s="12"/>
      <c r="I28" s="12"/>
    </row>
    <row r="29" spans="1:9" ht="20.25" customHeight="1" thickBot="1">
      <c r="A29" s="12"/>
      <c r="B29" s="12"/>
      <c r="C29" s="12"/>
      <c r="D29" s="12"/>
      <c r="G29" s="12"/>
      <c r="H29" s="213" t="s">
        <v>73</v>
      </c>
      <c r="I29" s="331">
        <v>0.83</v>
      </c>
    </row>
    <row r="30" spans="1:9" ht="20.25" customHeight="1">
      <c r="A30" s="12"/>
      <c r="B30" s="12"/>
      <c r="C30" s="12"/>
      <c r="D30" s="12"/>
      <c r="G30" s="12"/>
      <c r="H30" s="68"/>
      <c r="I30" s="301"/>
    </row>
    <row r="31" spans="1:9" ht="20.25" customHeight="1">
      <c r="A31" s="12"/>
      <c r="B31" s="12"/>
      <c r="C31" s="12"/>
      <c r="D31" s="12"/>
      <c r="G31" s="12"/>
      <c r="H31" s="68"/>
      <c r="I31" s="301"/>
    </row>
    <row r="32" spans="1:9" ht="17.5">
      <c r="A32" s="107" t="s">
        <v>356</v>
      </c>
    </row>
    <row r="33" spans="1:1" ht="17.5">
      <c r="A33" s="107" t="s">
        <v>355</v>
      </c>
    </row>
  </sheetData>
  <pageMargins left="0.25" right="0.25" top="0.75" bottom="0.75" header="0.3" footer="0.3"/>
  <pageSetup scale="6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F0854-9225-4685-BC0B-402957CF1047}">
  <sheetPr>
    <tabColor rgb="FF92D050"/>
  </sheetPr>
  <dimension ref="A1:K29"/>
  <sheetViews>
    <sheetView view="pageBreakPreview" zoomScale="60" zoomScaleNormal="80" workbookViewId="0">
      <selection activeCell="F41" sqref="F41"/>
    </sheetView>
  </sheetViews>
  <sheetFormatPr defaultRowHeight="14.5"/>
  <cols>
    <col min="1" max="1" width="50.453125" customWidth="1"/>
    <col min="2" max="2" width="10.81640625" bestFit="1" customWidth="1"/>
    <col min="3" max="3" width="19.1796875" bestFit="1" customWidth="1"/>
    <col min="4" max="4" width="15.26953125" customWidth="1"/>
    <col min="5" max="5" width="16" customWidth="1"/>
    <col min="6" max="6" width="20" customWidth="1"/>
    <col min="7" max="7" width="16.54296875" customWidth="1"/>
    <col min="8" max="8" width="19.1796875" customWidth="1"/>
    <col min="9" max="10" width="20.1796875" customWidth="1"/>
    <col min="11" max="11" width="17.7265625" customWidth="1"/>
    <col min="12" max="12" width="23.7265625" customWidth="1"/>
  </cols>
  <sheetData>
    <row r="1" spans="1:11" ht="25.5">
      <c r="A1" s="23" t="s">
        <v>1</v>
      </c>
      <c r="B1" s="12"/>
      <c r="C1" s="12"/>
      <c r="D1" s="12"/>
      <c r="E1" s="12"/>
      <c r="F1" s="12"/>
      <c r="G1" s="12"/>
      <c r="H1" s="12"/>
      <c r="I1" s="12"/>
      <c r="J1" s="12"/>
    </row>
    <row r="2" spans="1:11" ht="17.5">
      <c r="A2" s="24" t="s">
        <v>9</v>
      </c>
      <c r="B2" s="12"/>
      <c r="C2" s="12"/>
      <c r="D2" s="12"/>
      <c r="E2" s="12"/>
      <c r="F2" s="12"/>
      <c r="G2" s="12"/>
      <c r="H2" s="12"/>
      <c r="I2" s="12"/>
      <c r="J2" s="12"/>
    </row>
    <row r="3" spans="1:11" ht="17">
      <c r="A3" s="25" t="s">
        <v>452</v>
      </c>
      <c r="B3" s="12"/>
      <c r="C3" s="12"/>
      <c r="D3" s="12"/>
      <c r="E3" s="12"/>
      <c r="F3" s="12"/>
      <c r="G3" s="12"/>
      <c r="H3" s="12"/>
      <c r="I3" s="12"/>
      <c r="J3" s="12"/>
    </row>
    <row r="4" spans="1:11" ht="17">
      <c r="A4" s="25"/>
      <c r="B4" s="12"/>
      <c r="C4" s="12"/>
      <c r="D4" s="12"/>
      <c r="E4" s="12"/>
      <c r="F4" s="12"/>
      <c r="G4" s="12"/>
      <c r="H4" s="12"/>
      <c r="I4" s="12"/>
      <c r="J4" s="12"/>
    </row>
    <row r="5" spans="1:11" ht="17.5" thickBot="1">
      <c r="A5" s="12"/>
      <c r="B5" s="12"/>
      <c r="C5" s="12"/>
      <c r="D5" s="12"/>
      <c r="E5" s="12"/>
      <c r="F5" s="12"/>
      <c r="G5" s="26"/>
      <c r="H5" s="12"/>
      <c r="I5" s="12"/>
      <c r="J5" s="12"/>
    </row>
    <row r="6" spans="1:11" ht="21.5" thickBot="1">
      <c r="A6" s="280" t="str">
        <f>+'S&amp;D'!A12</f>
        <v>Water Utility Companies (Private)</v>
      </c>
      <c r="B6" s="207"/>
      <c r="C6" s="12"/>
      <c r="D6" s="28"/>
      <c r="E6" s="28"/>
      <c r="F6" s="29" t="s">
        <v>0</v>
      </c>
      <c r="G6" s="12"/>
      <c r="H6" s="12"/>
      <c r="I6" s="12"/>
      <c r="J6" s="12"/>
    </row>
    <row r="7" spans="1:11" ht="25.5">
      <c r="A7" s="30"/>
      <c r="B7" s="12"/>
      <c r="C7" s="12"/>
      <c r="D7" s="12"/>
      <c r="E7" s="31" t="s">
        <v>171</v>
      </c>
      <c r="F7" s="12"/>
      <c r="G7" s="12"/>
      <c r="H7" s="12"/>
      <c r="I7" s="12"/>
      <c r="J7" s="12"/>
    </row>
    <row r="8" spans="1:11" ht="21.5" thickBot="1">
      <c r="A8" s="30"/>
      <c r="B8" s="12"/>
      <c r="C8" s="12"/>
      <c r="D8" s="28"/>
      <c r="E8" s="32" t="s">
        <v>453</v>
      </c>
      <c r="F8" s="28"/>
      <c r="G8" s="12"/>
      <c r="H8" s="12"/>
      <c r="I8" s="12"/>
      <c r="J8" s="12"/>
    </row>
    <row r="9" spans="1:11" ht="17.5" thickBot="1">
      <c r="A9" s="33" t="s">
        <v>0</v>
      </c>
      <c r="B9" s="33" t="s">
        <v>0</v>
      </c>
      <c r="C9" s="33" t="s">
        <v>0</v>
      </c>
      <c r="D9" s="33" t="s">
        <v>0</v>
      </c>
      <c r="E9" s="33" t="s">
        <v>0</v>
      </c>
      <c r="F9" s="33"/>
      <c r="G9" s="28"/>
      <c r="H9" s="28"/>
      <c r="I9" s="28"/>
      <c r="J9" s="28"/>
      <c r="K9" s="158"/>
    </row>
    <row r="10" spans="1:11" ht="17">
      <c r="A10" s="34" t="s">
        <v>0</v>
      </c>
      <c r="B10" s="34" t="s">
        <v>3</v>
      </c>
      <c r="C10" s="34" t="s">
        <v>5</v>
      </c>
      <c r="D10" s="34" t="s">
        <v>166</v>
      </c>
      <c r="E10" s="34" t="s">
        <v>167</v>
      </c>
      <c r="F10" s="34" t="s">
        <v>169</v>
      </c>
      <c r="G10" s="34" t="s">
        <v>167</v>
      </c>
      <c r="H10" s="34" t="s">
        <v>169</v>
      </c>
      <c r="I10" s="34" t="s">
        <v>167</v>
      </c>
      <c r="J10" s="34" t="s">
        <v>169</v>
      </c>
      <c r="K10" s="34" t="s">
        <v>275</v>
      </c>
    </row>
    <row r="11" spans="1:11" ht="17">
      <c r="A11" s="34"/>
      <c r="B11" s="34" t="s">
        <v>4</v>
      </c>
      <c r="C11" s="34" t="s">
        <v>6</v>
      </c>
      <c r="D11" s="34" t="s">
        <v>27</v>
      </c>
      <c r="E11" s="34" t="s">
        <v>168</v>
      </c>
      <c r="F11" s="34" t="s">
        <v>119</v>
      </c>
      <c r="G11" s="34" t="s">
        <v>168</v>
      </c>
      <c r="H11" s="34" t="s">
        <v>119</v>
      </c>
      <c r="I11" s="34" t="s">
        <v>168</v>
      </c>
      <c r="J11" s="34" t="s">
        <v>119</v>
      </c>
      <c r="K11" s="34" t="s">
        <v>183</v>
      </c>
    </row>
    <row r="12" spans="1:11" ht="17.5" thickBot="1">
      <c r="A12" s="36" t="s">
        <v>2</v>
      </c>
      <c r="B12" s="36" t="s">
        <v>0</v>
      </c>
      <c r="C12" s="36" t="s">
        <v>0</v>
      </c>
      <c r="D12" s="36" t="s">
        <v>0</v>
      </c>
      <c r="E12" s="36" t="s">
        <v>170</v>
      </c>
      <c r="F12" s="36" t="s">
        <v>170</v>
      </c>
      <c r="G12" s="36" t="s">
        <v>273</v>
      </c>
      <c r="H12" s="36" t="s">
        <v>273</v>
      </c>
      <c r="I12" s="36" t="s">
        <v>274</v>
      </c>
      <c r="J12" s="36" t="s">
        <v>274</v>
      </c>
      <c r="K12" s="243" t="s">
        <v>276</v>
      </c>
    </row>
    <row r="13" spans="1:11" ht="15">
      <c r="A13" s="38" t="s">
        <v>7</v>
      </c>
      <c r="B13" s="38" t="s">
        <v>7</v>
      </c>
      <c r="C13" s="38" t="s">
        <v>7</v>
      </c>
      <c r="D13" s="39" t="s">
        <v>112</v>
      </c>
      <c r="E13" s="38" t="s">
        <v>7</v>
      </c>
      <c r="F13" s="38" t="s">
        <v>15</v>
      </c>
      <c r="G13" s="38" t="s">
        <v>7</v>
      </c>
      <c r="H13" s="38" t="s">
        <v>15</v>
      </c>
      <c r="I13" s="38" t="s">
        <v>7</v>
      </c>
      <c r="J13" s="38" t="s">
        <v>15</v>
      </c>
      <c r="K13" s="38" t="s">
        <v>15</v>
      </c>
    </row>
    <row r="14" spans="1:11" ht="17">
      <c r="A14" s="34"/>
      <c r="B14" s="34"/>
      <c r="C14" s="34"/>
      <c r="D14" s="34"/>
      <c r="E14" s="34"/>
      <c r="F14" s="34"/>
      <c r="G14" s="12"/>
      <c r="H14" s="12"/>
      <c r="I14" s="12"/>
      <c r="J14" s="12"/>
      <c r="K14" s="12"/>
    </row>
    <row r="15" spans="1:11" ht="17">
      <c r="A15" s="12"/>
      <c r="B15" s="12"/>
      <c r="C15" s="12"/>
      <c r="D15" s="12"/>
      <c r="E15" s="12"/>
      <c r="F15" s="12"/>
      <c r="G15" s="12"/>
      <c r="H15" s="12"/>
      <c r="I15" s="12"/>
      <c r="J15" s="12"/>
      <c r="K15" s="12"/>
    </row>
    <row r="16" spans="1:11" ht="17.5">
      <c r="A16" s="62" t="str">
        <f>+'S&amp;D'!A22</f>
        <v>American States Water Company</v>
      </c>
      <c r="B16" s="91" t="str">
        <f>+'S&amp;D'!B22</f>
        <v>AWR</v>
      </c>
      <c r="C16" s="91" t="str">
        <f>+'S&amp;D'!C22</f>
        <v>Water Utility</v>
      </c>
      <c r="D16" s="59">
        <f>+'S&amp;D'!G22</f>
        <v>80.42</v>
      </c>
      <c r="E16" s="61">
        <v>1.66</v>
      </c>
      <c r="F16" s="65">
        <f>+E16/D16</f>
        <v>2.0641631434966425E-2</v>
      </c>
      <c r="G16" s="61">
        <v>1.8</v>
      </c>
      <c r="H16" s="65">
        <f>+G16/D16</f>
        <v>2.2382491917433474E-2</v>
      </c>
      <c r="I16" s="61">
        <v>2.2999999999999998</v>
      </c>
      <c r="J16" s="65">
        <f>+I16/D16</f>
        <v>2.8599850783387216E-2</v>
      </c>
      <c r="K16" s="242">
        <f>RATE(3,,-G16,I16)</f>
        <v>8.5138345254407111E-2</v>
      </c>
    </row>
    <row r="17" spans="1:11" ht="17.5">
      <c r="A17" s="62" t="str">
        <f>+'S&amp;D'!A23</f>
        <v>American Water Works Company Inc</v>
      </c>
      <c r="B17" s="91" t="str">
        <f>+'S&amp;D'!B23</f>
        <v>AWK</v>
      </c>
      <c r="C17" s="91" t="str">
        <f>+'S&amp;D'!C23</f>
        <v>Water Utility</v>
      </c>
      <c r="D17" s="59">
        <f>+'S&amp;D'!G23</f>
        <v>131.99</v>
      </c>
      <c r="E17" s="61">
        <v>2.78</v>
      </c>
      <c r="F17" s="65">
        <f t="shared" ref="F17:F21" si="0">+E17/D17</f>
        <v>2.10622016819456E-2</v>
      </c>
      <c r="G17" s="61">
        <v>3</v>
      </c>
      <c r="H17" s="65">
        <f t="shared" ref="H17:H21" si="1">+G17/D17</f>
        <v>2.2728994620804605E-2</v>
      </c>
      <c r="I17" s="61">
        <v>3.8</v>
      </c>
      <c r="J17" s="65">
        <f t="shared" ref="J17:J21" si="2">+I17/D17</f>
        <v>2.8790059853019166E-2</v>
      </c>
      <c r="K17" s="242">
        <f>RATE(3,,-G17,I17)</f>
        <v>8.1983855523205196E-2</v>
      </c>
    </row>
    <row r="18" spans="1:11" ht="17.5">
      <c r="A18" s="62" t="str">
        <f>+'S&amp;D'!A24</f>
        <v xml:space="preserve">California Water Service Group </v>
      </c>
      <c r="B18" s="91" t="str">
        <f>+'S&amp;D'!B24</f>
        <v>CWT</v>
      </c>
      <c r="C18" s="91" t="str">
        <f>+'S&amp;D'!C24</f>
        <v>Water Utility</v>
      </c>
      <c r="D18" s="59">
        <f>+'S&amp;D'!G24</f>
        <v>51.87</v>
      </c>
      <c r="E18" s="61">
        <v>1.04</v>
      </c>
      <c r="F18" s="65">
        <f t="shared" si="0"/>
        <v>2.005012531328321E-2</v>
      </c>
      <c r="G18" s="61">
        <v>1.1200000000000001</v>
      </c>
      <c r="H18" s="65">
        <f t="shared" si="1"/>
        <v>2.1592442645074227E-2</v>
      </c>
      <c r="I18" s="61">
        <v>1.35</v>
      </c>
      <c r="J18" s="65">
        <f t="shared" si="2"/>
        <v>2.6026604973973397E-2</v>
      </c>
      <c r="K18" s="242">
        <f t="shared" ref="K18:K21" si="3">RATE(3,,-G18,I18)</f>
        <v>6.423755897944422E-2</v>
      </c>
    </row>
    <row r="19" spans="1:11" ht="17.5">
      <c r="A19" s="62" t="str">
        <f>+'S&amp;D'!A25</f>
        <v>Essential Utilities, Inc.</v>
      </c>
      <c r="B19" s="91" t="str">
        <f>+'S&amp;D'!B25</f>
        <v>WTRG</v>
      </c>
      <c r="C19" s="91" t="str">
        <f>+'S&amp;D'!C25</f>
        <v>Water Utility</v>
      </c>
      <c r="D19" s="59">
        <f>+'S&amp;D'!G25</f>
        <v>37.35</v>
      </c>
      <c r="E19" s="61">
        <v>1.19</v>
      </c>
      <c r="F19" s="65">
        <f t="shared" si="0"/>
        <v>3.1860776439089689E-2</v>
      </c>
      <c r="G19" s="61">
        <v>1.27</v>
      </c>
      <c r="H19" s="65">
        <f t="shared" si="1"/>
        <v>3.4002677376171353E-2</v>
      </c>
      <c r="I19" s="61">
        <v>1.65</v>
      </c>
      <c r="J19" s="65">
        <f t="shared" si="2"/>
        <v>4.4176706827309231E-2</v>
      </c>
      <c r="K19" s="242">
        <f t="shared" si="3"/>
        <v>9.1172488692621415E-2</v>
      </c>
    </row>
    <row r="20" spans="1:11" ht="17.5">
      <c r="A20" s="62" t="str">
        <f>+'S&amp;D'!A26</f>
        <v>Middlesex Water Company</v>
      </c>
      <c r="B20" s="91" t="str">
        <f>+'S&amp;D'!B26</f>
        <v>MSEX</v>
      </c>
      <c r="C20" s="91" t="str">
        <f>+'S&amp;D'!C26</f>
        <v>Water Utility</v>
      </c>
      <c r="D20" s="59">
        <f>+'S&amp;D'!G26</f>
        <v>65.62</v>
      </c>
      <c r="E20" s="61">
        <v>1.28</v>
      </c>
      <c r="F20" s="65">
        <f t="shared" si="0"/>
        <v>1.9506248095092958E-2</v>
      </c>
      <c r="G20" s="61">
        <v>1.32</v>
      </c>
      <c r="H20" s="65">
        <f t="shared" si="1"/>
        <v>2.0115818348064612E-2</v>
      </c>
      <c r="I20" s="61">
        <v>1.6</v>
      </c>
      <c r="J20" s="65">
        <f t="shared" si="2"/>
        <v>2.4382810118866199E-2</v>
      </c>
      <c r="K20" s="242">
        <f t="shared" si="3"/>
        <v>6.6224564262488794E-2</v>
      </c>
    </row>
    <row r="21" spans="1:11" ht="17.5">
      <c r="A21" s="62" t="str">
        <f>+'S&amp;D'!A27</f>
        <v>SJW Corporation</v>
      </c>
      <c r="B21" s="91" t="str">
        <f>+'S&amp;D'!B27</f>
        <v>SJW</v>
      </c>
      <c r="C21" s="91" t="str">
        <f>+'S&amp;D'!C27</f>
        <v>Water Utility</v>
      </c>
      <c r="D21" s="59">
        <f>+'S&amp;D'!G27</f>
        <v>65.650000000000006</v>
      </c>
      <c r="E21" s="61">
        <v>1.52</v>
      </c>
      <c r="F21" s="65">
        <f t="shared" si="0"/>
        <v>2.315308453922315E-2</v>
      </c>
      <c r="G21" s="61">
        <v>1.6</v>
      </c>
      <c r="H21" s="65">
        <f t="shared" si="1"/>
        <v>2.4371667936024372E-2</v>
      </c>
      <c r="I21" s="61">
        <v>1.8</v>
      </c>
      <c r="J21" s="65">
        <f t="shared" si="2"/>
        <v>2.7418126428027417E-2</v>
      </c>
      <c r="K21" s="242">
        <f t="shared" si="3"/>
        <v>4.0041911525952066E-2</v>
      </c>
    </row>
    <row r="22" spans="1:11" ht="17.5" thickBot="1">
      <c r="A22" s="12"/>
      <c r="B22" s="12"/>
      <c r="C22" s="43"/>
      <c r="D22" s="46"/>
      <c r="E22" s="46"/>
      <c r="F22" s="46"/>
      <c r="G22" s="46"/>
      <c r="H22" s="46"/>
      <c r="I22" s="46"/>
      <c r="J22" s="46"/>
      <c r="K22" s="46"/>
    </row>
    <row r="23" spans="1:11" ht="17.5" thickTop="1">
      <c r="A23" s="12"/>
      <c r="B23" s="12"/>
      <c r="D23" s="14" t="s">
        <v>45</v>
      </c>
      <c r="E23" s="16">
        <f>+MAX(E16:E21)</f>
        <v>2.78</v>
      </c>
      <c r="F23" s="339">
        <f t="shared" ref="F23:K23" si="4">+MAX(F16:F21)</f>
        <v>3.1860776439089689E-2</v>
      </c>
      <c r="G23" s="16">
        <f t="shared" si="4"/>
        <v>3</v>
      </c>
      <c r="H23" s="339">
        <f t="shared" si="4"/>
        <v>3.4002677376171353E-2</v>
      </c>
      <c r="I23" s="16">
        <f t="shared" si="4"/>
        <v>3.8</v>
      </c>
      <c r="J23" s="339">
        <f t="shared" si="4"/>
        <v>4.4176706827309231E-2</v>
      </c>
      <c r="K23" s="339">
        <f t="shared" si="4"/>
        <v>9.1172488692621415E-2</v>
      </c>
    </row>
    <row r="24" spans="1:11" ht="17">
      <c r="A24" s="12"/>
      <c r="B24" s="12"/>
      <c r="D24" s="14" t="s">
        <v>46</v>
      </c>
      <c r="E24" s="368">
        <f>MIN(E16:E21)</f>
        <v>1.04</v>
      </c>
      <c r="F24" s="367">
        <f t="shared" ref="F24:K24" si="5">MIN(F16:F21)</f>
        <v>1.9506248095092958E-2</v>
      </c>
      <c r="G24" s="368">
        <f t="shared" si="5"/>
        <v>1.1200000000000001</v>
      </c>
      <c r="H24" s="367">
        <f t="shared" si="5"/>
        <v>2.0115818348064612E-2</v>
      </c>
      <c r="I24" s="368">
        <f t="shared" si="5"/>
        <v>1.35</v>
      </c>
      <c r="J24" s="367">
        <f t="shared" si="5"/>
        <v>2.4382810118866199E-2</v>
      </c>
      <c r="K24" s="367">
        <f t="shared" si="5"/>
        <v>4.0041911525952066E-2</v>
      </c>
    </row>
    <row r="25" spans="1:11" ht="17">
      <c r="A25" s="12"/>
      <c r="B25" s="12"/>
      <c r="D25" s="14" t="s">
        <v>18</v>
      </c>
      <c r="E25" s="17">
        <f t="shared" ref="E25:K25" si="6">MEDIAN(E16:E21)</f>
        <v>1.4</v>
      </c>
      <c r="F25" s="54">
        <f t="shared" si="6"/>
        <v>2.0851916558456012E-2</v>
      </c>
      <c r="G25" s="17">
        <f t="shared" si="6"/>
        <v>1.46</v>
      </c>
      <c r="H25" s="54">
        <f t="shared" si="6"/>
        <v>2.2555743269119039E-2</v>
      </c>
      <c r="I25" s="17">
        <f t="shared" si="6"/>
        <v>1.7250000000000001</v>
      </c>
      <c r="J25" s="54">
        <f t="shared" si="6"/>
        <v>2.8008988605707316E-2</v>
      </c>
      <c r="K25" s="54">
        <f t="shared" si="6"/>
        <v>7.4104209892846995E-2</v>
      </c>
    </row>
    <row r="26" spans="1:11" ht="17">
      <c r="A26" s="12"/>
      <c r="B26" s="12"/>
      <c r="D26" s="14" t="s">
        <v>409</v>
      </c>
      <c r="E26" s="21">
        <f t="shared" ref="E26:K26" si="7">AVERAGE(E16:E21)</f>
        <v>1.5783333333333334</v>
      </c>
      <c r="F26" s="56">
        <f t="shared" si="7"/>
        <v>2.2712344583933508E-2</v>
      </c>
      <c r="G26" s="21">
        <f t="shared" si="7"/>
        <v>1.6849999999999998</v>
      </c>
      <c r="H26" s="56">
        <f t="shared" si="7"/>
        <v>2.4199015473928775E-2</v>
      </c>
      <c r="I26" s="21">
        <f t="shared" si="7"/>
        <v>2.0833333333333335</v>
      </c>
      <c r="J26" s="56">
        <f t="shared" si="7"/>
        <v>2.9899026497430436E-2</v>
      </c>
      <c r="K26" s="56">
        <f t="shared" si="7"/>
        <v>7.1466454039686461E-2</v>
      </c>
    </row>
    <row r="27" spans="1:11" ht="17">
      <c r="A27" s="12"/>
      <c r="B27" s="12"/>
      <c r="C27" s="12"/>
      <c r="D27" s="12"/>
      <c r="E27" s="12"/>
      <c r="F27" s="12"/>
      <c r="G27" s="12"/>
      <c r="H27" s="12"/>
      <c r="I27" s="12"/>
      <c r="J27" s="12"/>
      <c r="K27" s="12"/>
    </row>
    <row r="28" spans="1:11" ht="25.5">
      <c r="A28" s="12"/>
      <c r="B28" s="12"/>
      <c r="C28" s="12"/>
      <c r="D28" s="12"/>
      <c r="E28" s="12"/>
      <c r="F28" s="49" t="s">
        <v>0</v>
      </c>
      <c r="G28" s="63" t="s">
        <v>0</v>
      </c>
      <c r="H28" s="12"/>
      <c r="I28" s="12"/>
      <c r="J28" s="12"/>
      <c r="K28" s="12"/>
    </row>
    <row r="29" spans="1:11" ht="18.5">
      <c r="A29" s="244" t="s">
        <v>277</v>
      </c>
    </row>
  </sheetData>
  <pageMargins left="0.25" right="0.25" top="0.75" bottom="0.75" header="0.3" footer="0.3"/>
  <pageSetup scale="5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5596C7-3CA4-4A86-9548-2C135C060B79}">
  <sheetPr>
    <tabColor rgb="FF92D050"/>
  </sheetPr>
  <dimension ref="A1:K29"/>
  <sheetViews>
    <sheetView view="pageBreakPreview" zoomScale="60" zoomScaleNormal="80" workbookViewId="0">
      <selection activeCell="H44" sqref="H44"/>
    </sheetView>
  </sheetViews>
  <sheetFormatPr defaultRowHeight="14.5"/>
  <cols>
    <col min="1" max="1" width="51.54296875" customWidth="1"/>
    <col min="2" max="2" width="10.81640625" bestFit="1" customWidth="1"/>
    <col min="3" max="3" width="19.1796875" bestFit="1" customWidth="1"/>
    <col min="4" max="4" width="15.26953125" customWidth="1"/>
    <col min="5" max="5" width="16" customWidth="1"/>
    <col min="6" max="6" width="20" customWidth="1"/>
    <col min="7" max="7" width="16.54296875" customWidth="1"/>
    <col min="8" max="8" width="19.1796875" customWidth="1"/>
    <col min="9" max="10" width="20.1796875" customWidth="1"/>
    <col min="11" max="11" width="17.7265625" customWidth="1"/>
    <col min="12" max="12" width="23.7265625" customWidth="1"/>
  </cols>
  <sheetData>
    <row r="1" spans="1:11" ht="25.5">
      <c r="A1" s="23" t="s">
        <v>1</v>
      </c>
      <c r="B1" s="12"/>
      <c r="C1" s="12"/>
      <c r="D1" s="12"/>
      <c r="E1" s="12"/>
      <c r="F1" s="12"/>
      <c r="G1" s="12"/>
      <c r="H1" s="12"/>
      <c r="I1" s="12"/>
      <c r="J1" s="12"/>
    </row>
    <row r="2" spans="1:11" ht="17.5">
      <c r="A2" s="24" t="s">
        <v>9</v>
      </c>
      <c r="B2" s="12"/>
      <c r="C2" s="12"/>
      <c r="D2" s="12"/>
      <c r="E2" s="12"/>
      <c r="F2" s="12"/>
      <c r="G2" s="12"/>
      <c r="H2" s="12"/>
      <c r="I2" s="12"/>
      <c r="J2" s="12"/>
    </row>
    <row r="3" spans="1:11" ht="17">
      <c r="A3" s="25" t="s">
        <v>452</v>
      </c>
      <c r="B3" s="12"/>
      <c r="C3" s="12"/>
      <c r="D3" s="12"/>
      <c r="E3" s="12"/>
      <c r="F3" s="12"/>
      <c r="G3" s="12"/>
      <c r="H3" s="12"/>
      <c r="I3" s="12"/>
      <c r="J3" s="12"/>
    </row>
    <row r="4" spans="1:11" ht="17">
      <c r="A4" s="25"/>
      <c r="B4" s="12"/>
      <c r="C4" s="12"/>
      <c r="D4" s="12"/>
      <c r="E4" s="12"/>
      <c r="F4" s="12"/>
      <c r="G4" s="12"/>
      <c r="H4" s="12"/>
      <c r="I4" s="12"/>
      <c r="J4" s="12"/>
    </row>
    <row r="5" spans="1:11" ht="17.5" thickBot="1">
      <c r="A5" s="12"/>
      <c r="B5" s="12"/>
      <c r="C5" s="12"/>
      <c r="D5" s="12"/>
      <c r="E5" s="12"/>
      <c r="F5" s="12"/>
      <c r="G5" s="26"/>
      <c r="H5" s="12"/>
      <c r="I5" s="12"/>
      <c r="J5" s="12"/>
    </row>
    <row r="6" spans="1:11" ht="21.5" thickBot="1">
      <c r="A6" s="280" t="str">
        <f>+'S&amp;D'!A12</f>
        <v>Water Utility Companies (Private)</v>
      </c>
      <c r="B6" s="207"/>
      <c r="C6" s="12"/>
      <c r="D6" s="28"/>
      <c r="E6" s="28"/>
      <c r="F6" s="29" t="s">
        <v>0</v>
      </c>
      <c r="G6" s="12"/>
      <c r="H6" s="12"/>
      <c r="I6" s="12"/>
      <c r="J6" s="12"/>
    </row>
    <row r="7" spans="1:11" ht="25.5">
      <c r="A7" s="30"/>
      <c r="B7" s="12"/>
      <c r="C7" s="12"/>
      <c r="D7" s="12"/>
      <c r="E7" s="31" t="s">
        <v>278</v>
      </c>
      <c r="F7" s="12"/>
      <c r="G7" s="12"/>
      <c r="H7" s="12"/>
      <c r="I7" s="12"/>
      <c r="J7" s="12"/>
    </row>
    <row r="8" spans="1:11" ht="21.5" thickBot="1">
      <c r="A8" s="30"/>
      <c r="B8" s="12"/>
      <c r="C8" s="12"/>
      <c r="D8" s="28"/>
      <c r="E8" s="32" t="s">
        <v>453</v>
      </c>
      <c r="F8" s="28"/>
      <c r="G8" s="12"/>
      <c r="H8" s="12"/>
      <c r="I8" s="12"/>
      <c r="J8" s="12"/>
    </row>
    <row r="9" spans="1:11" ht="17.5" thickBot="1">
      <c r="A9" s="33" t="s">
        <v>0</v>
      </c>
      <c r="B9" s="33" t="s">
        <v>0</v>
      </c>
      <c r="C9" s="33" t="s">
        <v>0</v>
      </c>
      <c r="D9" s="33" t="s">
        <v>0</v>
      </c>
      <c r="E9" s="33" t="s">
        <v>0</v>
      </c>
      <c r="F9" s="33"/>
      <c r="G9" s="28"/>
      <c r="H9" s="28"/>
      <c r="I9" s="28"/>
      <c r="J9" s="28"/>
      <c r="K9" s="158"/>
    </row>
    <row r="10" spans="1:11" ht="17">
      <c r="A10" s="34" t="s">
        <v>0</v>
      </c>
      <c r="B10" s="34" t="s">
        <v>3</v>
      </c>
      <c r="C10" s="34" t="s">
        <v>5</v>
      </c>
      <c r="D10" s="34" t="s">
        <v>166</v>
      </c>
      <c r="E10" s="34" t="s">
        <v>172</v>
      </c>
      <c r="F10" s="34" t="s">
        <v>172</v>
      </c>
      <c r="G10" s="34" t="s">
        <v>172</v>
      </c>
      <c r="H10" s="34" t="s">
        <v>172</v>
      </c>
      <c r="I10" s="34" t="s">
        <v>172</v>
      </c>
      <c r="J10" s="34" t="s">
        <v>172</v>
      </c>
      <c r="K10" s="34" t="s">
        <v>275</v>
      </c>
    </row>
    <row r="11" spans="1:11" ht="17">
      <c r="A11" s="34"/>
      <c r="B11" s="34" t="s">
        <v>4</v>
      </c>
      <c r="C11" s="34" t="s">
        <v>6</v>
      </c>
      <c r="D11" s="34" t="s">
        <v>27</v>
      </c>
      <c r="E11" s="34" t="s">
        <v>168</v>
      </c>
      <c r="F11" s="34" t="s">
        <v>119</v>
      </c>
      <c r="G11" s="34" t="s">
        <v>168</v>
      </c>
      <c r="H11" s="34" t="s">
        <v>119</v>
      </c>
      <c r="I11" s="34" t="s">
        <v>168</v>
      </c>
      <c r="J11" s="34" t="s">
        <v>119</v>
      </c>
      <c r="K11" s="34" t="s">
        <v>183</v>
      </c>
    </row>
    <row r="12" spans="1:11" ht="17.5" thickBot="1">
      <c r="A12" s="36" t="s">
        <v>2</v>
      </c>
      <c r="B12" s="36" t="s">
        <v>0</v>
      </c>
      <c r="C12" s="36" t="s">
        <v>0</v>
      </c>
      <c r="D12" s="36" t="s">
        <v>0</v>
      </c>
      <c r="E12" s="36" t="s">
        <v>170</v>
      </c>
      <c r="F12" s="36" t="s">
        <v>170</v>
      </c>
      <c r="G12" s="36" t="s">
        <v>273</v>
      </c>
      <c r="H12" s="36" t="s">
        <v>273</v>
      </c>
      <c r="I12" s="36" t="s">
        <v>274</v>
      </c>
      <c r="J12" s="36" t="s">
        <v>274</v>
      </c>
      <c r="K12" s="243" t="s">
        <v>276</v>
      </c>
    </row>
    <row r="13" spans="1:11" ht="15">
      <c r="A13" s="38" t="s">
        <v>7</v>
      </c>
      <c r="B13" s="38" t="s">
        <v>7</v>
      </c>
      <c r="C13" s="38" t="s">
        <v>7</v>
      </c>
      <c r="D13" s="39" t="s">
        <v>112</v>
      </c>
      <c r="E13" s="38" t="s">
        <v>7</v>
      </c>
      <c r="F13" s="38" t="s">
        <v>15</v>
      </c>
      <c r="G13" s="38" t="s">
        <v>7</v>
      </c>
      <c r="H13" s="38" t="s">
        <v>15</v>
      </c>
      <c r="I13" s="38" t="s">
        <v>7</v>
      </c>
      <c r="J13" s="38" t="s">
        <v>15</v>
      </c>
      <c r="K13" s="38" t="s">
        <v>15</v>
      </c>
    </row>
    <row r="14" spans="1:11" ht="17">
      <c r="A14" s="34"/>
      <c r="B14" s="34"/>
      <c r="C14" s="34"/>
      <c r="D14" s="34"/>
      <c r="E14" s="34"/>
      <c r="F14" s="34"/>
      <c r="G14" s="12"/>
      <c r="H14" s="12"/>
      <c r="I14" s="12"/>
      <c r="J14" s="12"/>
      <c r="K14" s="12"/>
    </row>
    <row r="15" spans="1:11" ht="17">
      <c r="A15" s="12"/>
      <c r="B15" s="12"/>
      <c r="C15" s="12"/>
      <c r="D15" s="12"/>
      <c r="E15" s="12"/>
      <c r="F15" s="12"/>
      <c r="G15" s="12"/>
      <c r="H15" s="12"/>
      <c r="I15" s="12"/>
      <c r="J15" s="12"/>
      <c r="K15" s="12"/>
    </row>
    <row r="16" spans="1:11" ht="17.5">
      <c r="A16" s="43" t="str">
        <f>+'S&amp;D'!A22</f>
        <v>American States Water Company</v>
      </c>
      <c r="B16" s="34" t="str">
        <f>+'S&amp;D'!B22</f>
        <v>AWR</v>
      </c>
      <c r="C16" s="34" t="str">
        <f>+'S&amp;D'!C22</f>
        <v>Water Utility</v>
      </c>
      <c r="D16" s="59">
        <f>+'S&amp;D'!G22</f>
        <v>80.42</v>
      </c>
      <c r="E16" s="61">
        <v>3.35</v>
      </c>
      <c r="F16" s="65">
        <f>+E16/D16</f>
        <v>4.1656304401890075E-2</v>
      </c>
      <c r="G16" s="61">
        <v>3</v>
      </c>
      <c r="H16" s="65">
        <f>+G16/D16</f>
        <v>3.7304153195722459E-2</v>
      </c>
      <c r="I16" s="61">
        <v>3.4</v>
      </c>
      <c r="J16" s="65">
        <f>+I16/D16</f>
        <v>4.2278040288485447E-2</v>
      </c>
      <c r="K16" s="242">
        <f t="shared" ref="K16:K21" si="0">RATE(3,,-G16,I16)</f>
        <v>4.2603601458844426E-2</v>
      </c>
    </row>
    <row r="17" spans="1:11" ht="17.5">
      <c r="A17" s="43" t="str">
        <f>+'S&amp;D'!A23</f>
        <v>American Water Works Company Inc</v>
      </c>
      <c r="B17" s="34" t="str">
        <f>+'S&amp;D'!B23</f>
        <v>AWK</v>
      </c>
      <c r="C17" s="34" t="str">
        <f>+'S&amp;D'!C23</f>
        <v>Water Utility</v>
      </c>
      <c r="D17" s="59">
        <f>+'S&amp;D'!G23</f>
        <v>131.99</v>
      </c>
      <c r="E17" s="61">
        <v>4.8</v>
      </c>
      <c r="F17" s="65">
        <f t="shared" ref="F17:F21" si="1">+E17/D17</f>
        <v>3.6366391393287366E-2</v>
      </c>
      <c r="G17" s="61">
        <v>5.15</v>
      </c>
      <c r="H17" s="65">
        <f t="shared" ref="H17:H21" si="2">+G17/D17</f>
        <v>3.9018107432381238E-2</v>
      </c>
      <c r="I17" s="61">
        <v>6.1</v>
      </c>
      <c r="J17" s="65">
        <f t="shared" ref="J17:J21" si="3">+I17/D17</f>
        <v>4.6215622395636029E-2</v>
      </c>
      <c r="K17" s="242">
        <f t="shared" si="0"/>
        <v>5.8053273831954258E-2</v>
      </c>
    </row>
    <row r="18" spans="1:11" ht="17.5">
      <c r="A18" s="43" t="str">
        <f>+'S&amp;D'!A24</f>
        <v xml:space="preserve">California Water Service Group </v>
      </c>
      <c r="B18" s="34" t="str">
        <f>+'S&amp;D'!B24</f>
        <v>CWT</v>
      </c>
      <c r="C18" s="34" t="str">
        <f>+'S&amp;D'!C24</f>
        <v>Water Utility</v>
      </c>
      <c r="D18" s="59">
        <f>+'S&amp;D'!G24</f>
        <v>51.87</v>
      </c>
      <c r="E18" s="61">
        <v>0.8</v>
      </c>
      <c r="F18" s="65">
        <f t="shared" si="1"/>
        <v>1.5423173317910162E-2</v>
      </c>
      <c r="G18" s="61">
        <v>2.25</v>
      </c>
      <c r="H18" s="65">
        <f t="shared" si="2"/>
        <v>4.3377674956622328E-2</v>
      </c>
      <c r="I18" s="61">
        <v>2.75</v>
      </c>
      <c r="J18" s="65">
        <f t="shared" si="3"/>
        <v>5.3017158280316175E-2</v>
      </c>
      <c r="K18" s="242">
        <f t="shared" si="0"/>
        <v>6.9178109999120385E-2</v>
      </c>
    </row>
    <row r="19" spans="1:11" ht="17.5">
      <c r="A19" s="43" t="str">
        <f>+'S&amp;D'!A25</f>
        <v>Essential Utilities, Inc.</v>
      </c>
      <c r="B19" s="34" t="str">
        <f>+'S&amp;D'!B25</f>
        <v>WTRG</v>
      </c>
      <c r="C19" s="34" t="str">
        <f>+'S&amp;D'!C25</f>
        <v>Water Utility</v>
      </c>
      <c r="D19" s="59">
        <f>+'S&amp;D'!G25</f>
        <v>37.35</v>
      </c>
      <c r="E19" s="61">
        <v>1.85</v>
      </c>
      <c r="F19" s="65">
        <f t="shared" si="1"/>
        <v>4.9531459170013385E-2</v>
      </c>
      <c r="G19" s="61">
        <v>2</v>
      </c>
      <c r="H19" s="65">
        <f t="shared" si="2"/>
        <v>5.3547523427041499E-2</v>
      </c>
      <c r="I19" s="61">
        <v>2.35</v>
      </c>
      <c r="J19" s="65">
        <f t="shared" si="3"/>
        <v>6.2918340026773767E-2</v>
      </c>
      <c r="K19" s="242">
        <f t="shared" si="0"/>
        <v>5.5227147245075013E-2</v>
      </c>
    </row>
    <row r="20" spans="1:11" ht="17.5">
      <c r="A20" s="43" t="str">
        <f>+'S&amp;D'!A26</f>
        <v>Middlesex Water Company</v>
      </c>
      <c r="B20" s="34" t="str">
        <f>+'S&amp;D'!B26</f>
        <v>MSEX</v>
      </c>
      <c r="C20" s="34" t="str">
        <f>+'S&amp;D'!C26</f>
        <v>Water Utility</v>
      </c>
      <c r="D20" s="59">
        <f>+'S&amp;D'!G26</f>
        <v>65.62</v>
      </c>
      <c r="E20" s="61">
        <v>2.0499999999999998</v>
      </c>
      <c r="F20" s="65">
        <f t="shared" si="1"/>
        <v>3.1240475464797312E-2</v>
      </c>
      <c r="G20" s="61">
        <v>2.5499999999999998</v>
      </c>
      <c r="H20" s="65">
        <f t="shared" si="2"/>
        <v>3.8860103626942998E-2</v>
      </c>
      <c r="I20" s="61">
        <v>3</v>
      </c>
      <c r="J20" s="65">
        <f t="shared" si="3"/>
        <v>4.571776897287412E-2</v>
      </c>
      <c r="K20" s="242">
        <f t="shared" si="0"/>
        <v>5.5667191978000775E-2</v>
      </c>
    </row>
    <row r="21" spans="1:11" ht="17.5">
      <c r="A21" s="43" t="str">
        <f>+'S&amp;D'!A27</f>
        <v>SJW Corporation</v>
      </c>
      <c r="B21" s="34" t="str">
        <f>+'S&amp;D'!B27</f>
        <v>SJW</v>
      </c>
      <c r="C21" s="34" t="str">
        <f>+'S&amp;D'!C27</f>
        <v>Water Utility</v>
      </c>
      <c r="D21" s="59">
        <f>+'S&amp;D'!G27</f>
        <v>65.650000000000006</v>
      </c>
      <c r="E21" s="61">
        <v>2.95</v>
      </c>
      <c r="F21" s="65">
        <f t="shared" si="1"/>
        <v>4.4935262757044937E-2</v>
      </c>
      <c r="G21" s="61">
        <v>3.15</v>
      </c>
      <c r="H21" s="65">
        <f t="shared" si="2"/>
        <v>4.7981721249047975E-2</v>
      </c>
      <c r="I21" s="61">
        <v>3.45</v>
      </c>
      <c r="J21" s="65">
        <f t="shared" si="3"/>
        <v>5.2551408987052552E-2</v>
      </c>
      <c r="K21" s="242">
        <f t="shared" si="0"/>
        <v>3.0788379107201592E-2</v>
      </c>
    </row>
    <row r="22" spans="1:11" ht="17.5" thickBot="1">
      <c r="A22" s="12"/>
      <c r="B22" s="12"/>
      <c r="C22" s="43"/>
      <c r="D22" s="46"/>
      <c r="E22" s="46"/>
      <c r="F22" s="46"/>
      <c r="G22" s="46"/>
      <c r="H22" s="46"/>
      <c r="I22" s="46"/>
      <c r="J22" s="46"/>
      <c r="K22" s="46"/>
    </row>
    <row r="23" spans="1:11" ht="17.5" thickTop="1">
      <c r="A23" s="12"/>
      <c r="B23" s="12"/>
      <c r="C23" s="14" t="s">
        <v>45</v>
      </c>
      <c r="D23" s="16">
        <f>+MAX(D16:D21)</f>
        <v>131.99</v>
      </c>
      <c r="E23" s="16">
        <f t="shared" ref="E23:K23" si="4">+MAX(E16:E21)</f>
        <v>4.8</v>
      </c>
      <c r="F23" s="339">
        <f t="shared" si="4"/>
        <v>4.9531459170013385E-2</v>
      </c>
      <c r="G23" s="16">
        <f t="shared" si="4"/>
        <v>5.15</v>
      </c>
      <c r="H23" s="339">
        <f t="shared" si="4"/>
        <v>5.3547523427041499E-2</v>
      </c>
      <c r="I23" s="16">
        <f t="shared" si="4"/>
        <v>6.1</v>
      </c>
      <c r="J23" s="339">
        <f t="shared" si="4"/>
        <v>6.2918340026773767E-2</v>
      </c>
      <c r="K23" s="339">
        <f t="shared" si="4"/>
        <v>6.9178109999120385E-2</v>
      </c>
    </row>
    <row r="24" spans="1:11" ht="17">
      <c r="A24" s="12"/>
      <c r="B24" s="12"/>
      <c r="C24" s="14" t="s">
        <v>46</v>
      </c>
      <c r="D24" s="368">
        <f>MIN(D16:D21)</f>
        <v>37.35</v>
      </c>
      <c r="E24" s="368">
        <f t="shared" ref="E24:K24" si="5">MIN(E16:E21)</f>
        <v>0.8</v>
      </c>
      <c r="F24" s="367">
        <f t="shared" si="5"/>
        <v>1.5423173317910162E-2</v>
      </c>
      <c r="G24" s="368">
        <f t="shared" si="5"/>
        <v>2</v>
      </c>
      <c r="H24" s="367">
        <f t="shared" si="5"/>
        <v>3.7304153195722459E-2</v>
      </c>
      <c r="I24" s="368">
        <f t="shared" si="5"/>
        <v>2.35</v>
      </c>
      <c r="J24" s="367">
        <f t="shared" si="5"/>
        <v>4.2278040288485447E-2</v>
      </c>
      <c r="K24" s="367">
        <f t="shared" si="5"/>
        <v>3.0788379107201592E-2</v>
      </c>
    </row>
    <row r="25" spans="1:11" ht="17">
      <c r="A25" s="12"/>
      <c r="B25" s="12"/>
      <c r="C25" s="14" t="s">
        <v>18</v>
      </c>
      <c r="D25" s="17">
        <f t="shared" ref="D25:K25" si="6">MEDIAN(D16:D21)</f>
        <v>65.635000000000005</v>
      </c>
      <c r="E25" s="17">
        <f t="shared" si="6"/>
        <v>2.5</v>
      </c>
      <c r="F25" s="54">
        <f t="shared" si="6"/>
        <v>3.901134789758872E-2</v>
      </c>
      <c r="G25" s="17">
        <f t="shared" si="6"/>
        <v>2.7749999999999999</v>
      </c>
      <c r="H25" s="54">
        <f t="shared" si="6"/>
        <v>4.1197891194501783E-2</v>
      </c>
      <c r="I25" s="17">
        <f t="shared" si="6"/>
        <v>3.2</v>
      </c>
      <c r="J25" s="54">
        <f t="shared" si="6"/>
        <v>4.938351569134429E-2</v>
      </c>
      <c r="K25" s="54">
        <f t="shared" si="6"/>
        <v>5.5447169611537894E-2</v>
      </c>
    </row>
    <row r="26" spans="1:11" ht="17">
      <c r="A26" s="12"/>
      <c r="B26" s="12"/>
      <c r="C26" s="14" t="s">
        <v>409</v>
      </c>
      <c r="D26" s="21">
        <f t="shared" ref="D26:K26" si="7">AVERAGE(D16:D21)</f>
        <v>72.15000000000002</v>
      </c>
      <c r="E26" s="21">
        <f t="shared" si="7"/>
        <v>2.6333333333333333</v>
      </c>
      <c r="F26" s="56">
        <f t="shared" si="7"/>
        <v>3.6525511084157206E-2</v>
      </c>
      <c r="G26" s="21">
        <f t="shared" si="7"/>
        <v>3.0166666666666662</v>
      </c>
      <c r="H26" s="56">
        <f t="shared" si="7"/>
        <v>4.3348213981293078E-2</v>
      </c>
      <c r="I26" s="21">
        <f t="shared" si="7"/>
        <v>3.5083333333333333</v>
      </c>
      <c r="J26" s="56">
        <f t="shared" si="7"/>
        <v>5.0449723158523023E-2</v>
      </c>
      <c r="K26" s="56">
        <f t="shared" si="7"/>
        <v>5.1919617270032747E-2</v>
      </c>
    </row>
    <row r="27" spans="1:11" ht="17">
      <c r="A27" s="12"/>
      <c r="B27" s="12"/>
      <c r="C27" s="12"/>
      <c r="D27" s="12"/>
      <c r="E27" s="12"/>
      <c r="F27" s="12"/>
      <c r="G27" s="12"/>
      <c r="H27" s="12"/>
      <c r="I27" s="12"/>
      <c r="J27" s="12"/>
      <c r="K27" s="12"/>
    </row>
    <row r="28" spans="1:11" ht="25.5">
      <c r="A28" s="12"/>
      <c r="B28" s="12"/>
      <c r="C28" s="12"/>
      <c r="D28" s="12"/>
      <c r="E28" s="12"/>
      <c r="F28" s="49" t="s">
        <v>0</v>
      </c>
      <c r="G28" s="63" t="s">
        <v>0</v>
      </c>
      <c r="H28" s="12"/>
      <c r="I28" s="12"/>
      <c r="J28" s="12"/>
      <c r="K28" s="12"/>
    </row>
    <row r="29" spans="1:11" ht="18.5">
      <c r="A29" s="244" t="s">
        <v>277</v>
      </c>
    </row>
  </sheetData>
  <pageMargins left="0.25" right="0.25" top="0.75" bottom="0.75" header="0.3" footer="0.3"/>
  <pageSetup scale="5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9CFB36B36E7EE46B860E7832FBC9DDB" ma:contentTypeVersion="1" ma:contentTypeDescription="Create a new document." ma:contentTypeScope="" ma:versionID="bff476506a81a32367fb2f95cb3debc2">
  <xsd:schema xmlns:xsd="http://www.w3.org/2001/XMLSchema" xmlns:xs="http://www.w3.org/2001/XMLSchema" xmlns:p="http://schemas.microsoft.com/office/2006/metadata/properties" xmlns:ns2="f94b9277-b0a3-4d91-bade-04ea91219630" targetNamespace="http://schemas.microsoft.com/office/2006/metadata/properties" ma:root="true" ma:fieldsID="93ea9a64a9ab47897a537ad3dd05bc89" ns2:_="">
    <xsd:import namespace="f94b9277-b0a3-4d91-bade-04ea91219630"/>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4b9277-b0a3-4d91-bade-04ea9121963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B17DB67-EAFE-48D5-B5D6-FB574EB86004}"/>
</file>

<file path=customXml/itemProps2.xml><?xml version="1.0" encoding="utf-8"?>
<ds:datastoreItem xmlns:ds="http://schemas.openxmlformats.org/officeDocument/2006/customXml" ds:itemID="{E60F84F2-5E9C-4CDE-B7E9-09F86069A410}"/>
</file>

<file path=customXml/itemProps3.xml><?xml version="1.0" encoding="utf-8"?>
<ds:datastoreItem xmlns:ds="http://schemas.openxmlformats.org/officeDocument/2006/customXml" ds:itemID="{07E4005A-610D-45D1-A65B-6B8B59B1ED4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19</vt:i4>
      </vt:variant>
    </vt:vector>
  </HeadingPairs>
  <TitlesOfParts>
    <vt:vector size="39" baseType="lpstr">
      <vt:lpstr>Cover Sheet</vt:lpstr>
      <vt:lpstr>Yield CapRate</vt:lpstr>
      <vt:lpstr>Direct CapRates</vt:lpstr>
      <vt:lpstr>S&amp;D</vt:lpstr>
      <vt:lpstr>Market to Book Ratios</vt:lpstr>
      <vt:lpstr>Maintenance CapEx</vt:lpstr>
      <vt:lpstr>Beta for CAPM</vt:lpstr>
      <vt:lpstr>Dividends </vt:lpstr>
      <vt:lpstr>Earnings</vt:lpstr>
      <vt:lpstr>Direct Debt</vt:lpstr>
      <vt:lpstr>Yield Debt</vt:lpstr>
      <vt:lpstr>Direct GCF</vt:lpstr>
      <vt:lpstr>Direct NOPAT</vt:lpstr>
      <vt:lpstr>Growth &amp; Inflation Rates</vt:lpstr>
      <vt:lpstr>Indicated Yield Equity Rate</vt:lpstr>
      <vt:lpstr>CAPM</vt:lpstr>
      <vt:lpstr>Single Stage Div Growth Model</vt:lpstr>
      <vt:lpstr>Two-Stage Div Growth Model</vt:lpstr>
      <vt:lpstr>Multiples</vt:lpstr>
      <vt:lpstr>Info</vt:lpstr>
      <vt:lpstr>'Beta for CAPM'!Print_Area</vt:lpstr>
      <vt:lpstr>CAPM!Print_Area</vt:lpstr>
      <vt:lpstr>'Cover Sheet'!Print_Area</vt:lpstr>
      <vt:lpstr>'Direct CapRates'!Print_Area</vt:lpstr>
      <vt:lpstr>'Direct Debt'!Print_Area</vt:lpstr>
      <vt:lpstr>'Direct GCF'!Print_Area</vt:lpstr>
      <vt:lpstr>'Direct NOPAT'!Print_Area</vt:lpstr>
      <vt:lpstr>'Dividends '!Print_Area</vt:lpstr>
      <vt:lpstr>Earnings!Print_Area</vt:lpstr>
      <vt:lpstr>'Growth &amp; Inflation Rates'!Print_Area</vt:lpstr>
      <vt:lpstr>'Indicated Yield Equity Rate'!Print_Area</vt:lpstr>
      <vt:lpstr>'Maintenance CapEx'!Print_Area</vt:lpstr>
      <vt:lpstr>'Market to Book Ratios'!Print_Area</vt:lpstr>
      <vt:lpstr>Multiples!Print_Area</vt:lpstr>
      <vt:lpstr>'S&amp;D'!Print_Area</vt:lpstr>
      <vt:lpstr>'Single Stage Div Growth Model'!Print_Area</vt:lpstr>
      <vt:lpstr>'Two-Stage Div Growth Model'!Print_Area</vt:lpstr>
      <vt:lpstr>'Yield CapRate'!Print_Area</vt:lpstr>
      <vt:lpstr>'Yield Debt'!Print_Area</vt:lpstr>
    </vt:vector>
  </TitlesOfParts>
  <Company>Commonwealth of Kentucky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 Cap Rate Study - Water Utility</dc:title>
  <dc:creator>%USERNAME%</dc:creator>
  <cp:lastModifiedBy>Baker, Mike A (DOR)</cp:lastModifiedBy>
  <cp:lastPrinted>2023-05-30T13:55:00Z</cp:lastPrinted>
  <dcterms:created xsi:type="dcterms:W3CDTF">2016-02-12T19:29:24Z</dcterms:created>
  <dcterms:modified xsi:type="dcterms:W3CDTF">2024-07-24T22:31:59Z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0x01010019CFB36B36E7EE46B860E7832FBC9DDB</vt:lpwstr>
  </property>
</Properties>
</file>